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0875" windowHeight="8895" tabRatio="756" activeTab="2"/>
  </bookViews>
  <sheets>
    <sheet name="Tutorial" sheetId="1" r:id="rId1"/>
    <sheet name="Identificação" sheetId="2" r:id="rId2"/>
    <sheet name="Ensino" sheetId="3" r:id="rId3"/>
    <sheet name="Pesquisa" sheetId="4" r:id="rId4"/>
    <sheet name="Extensão" sheetId="5" r:id="rId5"/>
    <sheet name="Gestão" sheetId="6" r:id="rId6"/>
    <sheet name="Capacitação" sheetId="7" r:id="rId7"/>
    <sheet name="Plano de Trabalho" sheetId="8" r:id="rId8"/>
    <sheet name="Relatório RAD" sheetId="9" state="hidden" r:id="rId9"/>
    <sheet name="Controles" sheetId="10" state="hidden" r:id="rId10"/>
  </sheets>
  <definedNames/>
  <calcPr fullCalcOnLoad="1"/>
</workbook>
</file>

<file path=xl/sharedStrings.xml><?xml version="1.0" encoding="utf-8"?>
<sst xmlns="http://schemas.openxmlformats.org/spreadsheetml/2006/main" count="523" uniqueCount="295">
  <si>
    <t>Cursos FIC</t>
  </si>
  <si>
    <t>Cursos Técnicos</t>
  </si>
  <si>
    <t>Cursos de Graduação</t>
  </si>
  <si>
    <t>Cursos de Pós-graduação</t>
  </si>
  <si>
    <t>Total</t>
  </si>
  <si>
    <t xml:space="preserve">Tutoria </t>
  </si>
  <si>
    <t>Orientação de monitoria</t>
  </si>
  <si>
    <t>Reuniões pedagógicas</t>
  </si>
  <si>
    <t>Aulas Semanais 
(45 min)</t>
  </si>
  <si>
    <t>Unidade</t>
  </si>
  <si>
    <t>Qde</t>
  </si>
  <si>
    <t>Limite (h)</t>
  </si>
  <si>
    <t>--</t>
  </si>
  <si>
    <t>Regime de Trabalho</t>
  </si>
  <si>
    <t>Componentes Curriculares Diferentes</t>
  </si>
  <si>
    <t>Total 
Sala de Aula</t>
  </si>
  <si>
    <t>SALA DE AULA</t>
  </si>
  <si>
    <t>PREPARAÇÃO</t>
  </si>
  <si>
    <t>NÃO SE APLICA</t>
  </si>
  <si>
    <t>Redução 
Sala de Aula</t>
  </si>
  <si>
    <t>OUTRAS ATIVIDADES DE ENSINO (OAE)</t>
  </si>
  <si>
    <t>Mínimo OAE</t>
  </si>
  <si>
    <t>Máximo
OAE</t>
  </si>
  <si>
    <t>Horas
Semanais</t>
  </si>
  <si>
    <t xml:space="preserve">componentes 
curriculares </t>
  </si>
  <si>
    <t>número de 
orientandos</t>
  </si>
  <si>
    <t>Ctrl</t>
  </si>
  <si>
    <t>Máximo Sala de Aula</t>
  </si>
  <si>
    <t>Mínimo 
Sala de Aula</t>
  </si>
  <si>
    <t>Descrição da Atividade em Sala de Aula</t>
  </si>
  <si>
    <t>Descrição de Outras Atividades de Ensino</t>
  </si>
  <si>
    <t>ATIVIDADES DE ENSINO</t>
  </si>
  <si>
    <t>Atendimento ao discente presencial</t>
  </si>
  <si>
    <t>Projetos de Ensino</t>
  </si>
  <si>
    <t>Atividades em sala de aula com bolsa</t>
  </si>
  <si>
    <t xml:space="preserve">Preparação e registro de aulas/notas Elaboração de material didático </t>
  </si>
  <si>
    <t>Horas
Normalizadas</t>
  </si>
  <si>
    <t>Projetos de desenvolvimento e inovação</t>
  </si>
  <si>
    <t>Participação em comitês científicos e de ética em pesquisa</t>
  </si>
  <si>
    <t>número de 
projeto</t>
  </si>
  <si>
    <t>número de 
comitês</t>
  </si>
  <si>
    <t>Limite
Redução</t>
  </si>
  <si>
    <t>Total
Redução</t>
  </si>
  <si>
    <t>Membro PGSS</t>
  </si>
  <si>
    <t>ATIVIDADES DE PESQUISA E INOVAÇÃO</t>
  </si>
  <si>
    <t>Limite 
(h)</t>
  </si>
  <si>
    <t>Programa Strictu Sensus</t>
  </si>
  <si>
    <t>ATIVIDADES DE GESTÃO</t>
  </si>
  <si>
    <t xml:space="preserve">atividades de extensão </t>
  </si>
  <si>
    <t>horas</t>
  </si>
  <si>
    <t>Máximo</t>
  </si>
  <si>
    <t>Reduções</t>
  </si>
  <si>
    <t>Selecione o número de atividades de Extensão que está envolvido</t>
  </si>
  <si>
    <t>Nome</t>
  </si>
  <si>
    <t>Titulação</t>
  </si>
  <si>
    <t>SIAPE</t>
  </si>
  <si>
    <t>Outras Atividades de Ensino</t>
  </si>
  <si>
    <t>Atividades de Ensino</t>
  </si>
  <si>
    <t>Atividades de Pesquisa</t>
  </si>
  <si>
    <t>Atividades de Extensão</t>
  </si>
  <si>
    <t>Atividades de Gestão e Assessoramento a Administração</t>
  </si>
  <si>
    <t>Horas</t>
  </si>
  <si>
    <t>ATIVIDADES DE EXTENSÃO</t>
  </si>
  <si>
    <t>Sala de Aula</t>
  </si>
  <si>
    <t xml:space="preserve">Total em Atividades de Ensino </t>
  </si>
  <si>
    <t>Total em Sala de Aula</t>
  </si>
  <si>
    <t>Insira o Título da Atividade</t>
  </si>
  <si>
    <t>TOTAL</t>
  </si>
  <si>
    <t>Atividades de Gestão e assessoramento à administração</t>
  </si>
  <si>
    <t>Lotação</t>
  </si>
  <si>
    <r>
      <t>Câmpus</t>
    </r>
  </si>
  <si>
    <t>Câmpus</t>
  </si>
  <si>
    <t>Membro Permanente em Programa de Pós-Graduação Stricto Sensu:</t>
  </si>
  <si>
    <t>Bagé</t>
  </si>
  <si>
    <t>Camaquã</t>
  </si>
  <si>
    <t>Charqueadas</t>
  </si>
  <si>
    <t>Gravataí</t>
  </si>
  <si>
    <t>Jaguarão</t>
  </si>
  <si>
    <t>Lajeado</t>
  </si>
  <si>
    <t>Novo Hamburgo</t>
  </si>
  <si>
    <t>Passo Fundo</t>
  </si>
  <si>
    <t>Pelotas</t>
  </si>
  <si>
    <t>Pelotas – Visconde da Graça</t>
  </si>
  <si>
    <t>Reitoria</t>
  </si>
  <si>
    <t>Santana do Livramento</t>
  </si>
  <si>
    <t>Sapiranga</t>
  </si>
  <si>
    <t>Sapucaia do Sul</t>
  </si>
  <si>
    <t>Venâncio Aires</t>
  </si>
  <si>
    <t>Graduação</t>
  </si>
  <si>
    <t>Especialização</t>
  </si>
  <si>
    <t>Mestrado</t>
  </si>
  <si>
    <t>Doutorado</t>
  </si>
  <si>
    <t>Controles</t>
  </si>
  <si>
    <t>Cidade</t>
  </si>
  <si>
    <t>Projetos de pesquisa - Coordenação</t>
  </si>
  <si>
    <t>Projetos de pesquisa - Colaboração</t>
  </si>
  <si>
    <t>Referencial 
Sala de Aula</t>
  </si>
  <si>
    <t>Membros da CPA, Colegiados, NDE, Comissão de Ética e CPPD</t>
  </si>
  <si>
    <t>Participação em outras câmaras, conselhos, núcleos e comitês temporários ou permanentes</t>
  </si>
  <si>
    <t>Coordenação de curso</t>
  </si>
  <si>
    <t>Responsabilidade por coordenadorias, setores, núcleos, laboratórios, áreas ou equivalentes</t>
  </si>
  <si>
    <t>Coordenação ou execução de convênios, programas ou sistemas</t>
  </si>
  <si>
    <t>___/___/_____</t>
  </si>
  <si>
    <t>Período Letivo</t>
  </si>
  <si>
    <t>2014/2</t>
  </si>
  <si>
    <t>2015/1</t>
  </si>
  <si>
    <t>2015/2</t>
  </si>
  <si>
    <t>2016/1</t>
  </si>
  <si>
    <t>2016/2</t>
  </si>
  <si>
    <t>2017/1</t>
  </si>
  <si>
    <t>2017/2</t>
  </si>
  <si>
    <t>2018/1</t>
  </si>
  <si>
    <t>2018/2</t>
  </si>
  <si>
    <t>2019/1</t>
  </si>
  <si>
    <t>2019/2</t>
  </si>
  <si>
    <t>2020/1</t>
  </si>
  <si>
    <t>2020/2</t>
  </si>
  <si>
    <t xml:space="preserve">Totalização da Atividade Docente para o Período Letivo      </t>
  </si>
  <si>
    <t xml:space="preserve">Detalhamento da Atividade Docente para o Período Letivo </t>
  </si>
  <si>
    <t xml:space="preserve">Diretor-Geral: </t>
  </si>
  <si>
    <t>Total Horas Normalizado</t>
  </si>
  <si>
    <t>Nível de Ensino</t>
  </si>
  <si>
    <t>FIC</t>
  </si>
  <si>
    <t>TÉCNICO</t>
  </si>
  <si>
    <t>GRADUAÇÃO</t>
  </si>
  <si>
    <t>PÓS-GRADUAÇÃO</t>
  </si>
  <si>
    <t xml:space="preserve">Componente Curricular </t>
  </si>
  <si>
    <t>Registro de Aulas</t>
  </si>
  <si>
    <t>Apropriar Carga Horária</t>
  </si>
  <si>
    <t>OAE</t>
  </si>
  <si>
    <t>Carga Horária Total</t>
  </si>
  <si>
    <t>Pesquisa</t>
  </si>
  <si>
    <t>Gestão</t>
  </si>
  <si>
    <t>Horas 
Semanais Normalizadas</t>
  </si>
  <si>
    <t>Quantidade  de Turmas</t>
  </si>
  <si>
    <t>Quantidade de Semanas</t>
  </si>
  <si>
    <t>Nome Curso</t>
  </si>
  <si>
    <t>Carga Horária Total Semanal já registrada</t>
  </si>
  <si>
    <t>Nome do componente curricular</t>
  </si>
  <si>
    <t>Nome do curso</t>
  </si>
  <si>
    <t>Descrição das Outras Atividades de Ensino</t>
  </si>
  <si>
    <t>Descrição das Atividades de Pesquisa</t>
  </si>
  <si>
    <t>Descrição das Atividades de Gestão e Assessoramento a Administração</t>
  </si>
  <si>
    <t>Extensão</t>
  </si>
  <si>
    <t>IDENTIFICAÇÃO</t>
  </si>
  <si>
    <t>Atividades de Capacitação</t>
  </si>
  <si>
    <t>Descrição das Atividades de Gestão</t>
  </si>
  <si>
    <t>Descrição das Atividades de Pesquisa e Inovação</t>
  </si>
  <si>
    <t>Descrição das Atividades de Capacitação</t>
  </si>
  <si>
    <t>Descrição das Atividades em Sala de Aula</t>
  </si>
  <si>
    <t>Indique o número de componentes curriculares diferentes e clique em Registrar</t>
  </si>
  <si>
    <t>Clique em Apropriar para ajustar os valores acima</t>
  </si>
  <si>
    <t>Indique a Carga Horária de Preparação</t>
  </si>
  <si>
    <t>Preencha a Tabela indicando outras atividades de ensino em que está envolvido</t>
  </si>
  <si>
    <t>Indique o número de atividades de extensão envolvido e clique em Atualize. Para reiniciar clique em Recomeça.</t>
  </si>
  <si>
    <r>
      <t xml:space="preserve">ATIVIDADES DE CAPACITAÇÃO </t>
    </r>
    <r>
      <rPr>
        <b/>
        <i/>
        <sz val="14"/>
        <color indexed="8"/>
        <rFont val="Verdana"/>
        <family val="2"/>
      </rPr>
      <t>STRICTO SENSU</t>
    </r>
  </si>
  <si>
    <t>Monografia de especialização - Orientação e coorientação</t>
  </si>
  <si>
    <t>Dissertação de mestrado - Orientação e coorientação</t>
  </si>
  <si>
    <t>Tese de doutorado - Orientação e coorientação</t>
  </si>
  <si>
    <t xml:space="preserve">Bolsistas de iniciação científica e tecnológica - Orientação </t>
  </si>
  <si>
    <t>Estágio curricular não obrigatório - Orientação e supervisão</t>
  </si>
  <si>
    <t>Estágio curricular obrigatório - Orientação e supervisão</t>
  </si>
  <si>
    <t xml:space="preserve">TCC de cursos técnicos de nível médio  - Orientação e coorientação </t>
  </si>
  <si>
    <t xml:space="preserve">TCC de graduação - Orientação e coorientação </t>
  </si>
  <si>
    <t>Atividades complementares - Orientação e supervisão</t>
  </si>
  <si>
    <t>Descreva as atividades de gestão previstas - indique o número das Portarias
(máximo 500 caracteres)</t>
  </si>
  <si>
    <t>Descreva as atividades de capacitação - indique o número do Projeto registrado na PROGEP
(máximo 500 caracteres)</t>
  </si>
  <si>
    <t>Relate as outras atividades de ensino previstas - indique identificadores de Projetos, Portarias, etc.
(máximo 500 caracteres)</t>
  </si>
  <si>
    <t>Chefia(s) Imediata(s):</t>
  </si>
  <si>
    <t>Nesta aba será configurado o Relatório da RAD, com dados anteriores!</t>
  </si>
  <si>
    <t>Clique nas abas Ensino, Pesquisa, Extensão, Gestão e Capacitação e preencha os campos adequadamente. 
Ao final, na aba Plano de Trabalho, imprima seu Plano e encaminhe adequamente, conforme rotina definida em seu Câmpus.</t>
  </si>
  <si>
    <t>Espaço livre para considerações</t>
  </si>
  <si>
    <r>
      <t xml:space="preserve">Selecione o
Nível de Ensino
</t>
    </r>
    <r>
      <rPr>
        <i/>
        <sz val="8"/>
        <color indexed="8"/>
        <rFont val="Verdana"/>
        <family val="2"/>
      </rPr>
      <t>Clique na célula</t>
    </r>
  </si>
  <si>
    <t>Passo-a-passo</t>
  </si>
  <si>
    <t>Identificação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</si>
  <si>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</si>
  <si>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</si>
  <si>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</si>
  <si>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</si>
  <si>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</si>
  <si>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</si>
  <si>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</si>
  <si>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</si>
  <si>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</si>
  <si>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</si>
  <si>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</si>
  <si>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</si>
  <si>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</si>
  <si>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</si>
  <si>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</si>
  <si>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</si>
  <si>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</si>
  <si>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</si>
  <si>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</si>
  <si>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</si>
  <si>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</si>
  <si>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</si>
  <si>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</si>
  <si>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</si>
  <si>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Célula tem opções a ser selecionada</t>
  </si>
  <si>
    <r>
      <rPr>
        <b/>
        <sz val="11"/>
        <color indexed="8"/>
        <rFont val="Calibri"/>
        <family val="2"/>
      </rPr>
      <t>Selecionar</t>
    </r>
    <r>
      <rPr>
        <sz val="11"/>
        <color theme="1"/>
        <rFont val="Calibri"/>
        <family val="2"/>
      </rPr>
      <t xml:space="preserve"> o ano letivo</t>
    </r>
  </si>
  <si>
    <r>
      <rPr>
        <b/>
        <sz val="11"/>
        <color indexed="8"/>
        <rFont val="Calibri"/>
        <family val="2"/>
      </rPr>
      <t>Digitar</t>
    </r>
    <r>
      <rPr>
        <sz val="11"/>
        <color theme="1"/>
        <rFont val="Calibri"/>
        <family val="2"/>
      </rPr>
      <t xml:space="preserve"> nome completo</t>
    </r>
  </si>
  <si>
    <r>
      <rPr>
        <b/>
        <sz val="11"/>
        <color indexed="8"/>
        <rFont val="Calibri"/>
        <family val="2"/>
      </rPr>
      <t>Selecionar</t>
    </r>
    <r>
      <rPr>
        <sz val="11"/>
        <color theme="1"/>
        <rFont val="Calibri"/>
        <family val="2"/>
      </rPr>
      <t xml:space="preserve"> o câmpus</t>
    </r>
  </si>
  <si>
    <r>
      <rPr>
        <b/>
        <sz val="11"/>
        <color indexed="8"/>
        <rFont val="Calibri"/>
        <family val="2"/>
      </rPr>
      <t>Digitar</t>
    </r>
    <r>
      <rPr>
        <sz val="11"/>
        <color theme="1"/>
        <rFont val="Calibri"/>
        <family val="2"/>
      </rPr>
      <t xml:space="preserve"> coordenação de curso / departamento</t>
    </r>
  </si>
  <si>
    <t>Digitar conforme o caso</t>
  </si>
  <si>
    <r>
      <rPr>
        <b/>
        <sz val="11"/>
        <color indexed="8"/>
        <rFont val="Calibri"/>
        <family val="2"/>
      </rPr>
      <t>Selecionar</t>
    </r>
    <r>
      <rPr>
        <sz val="11"/>
        <color theme="1"/>
        <rFont val="Calibri"/>
        <family val="2"/>
      </rPr>
      <t xml:space="preserve"> a titulação</t>
    </r>
  </si>
  <si>
    <r>
      <rPr>
        <b/>
        <sz val="11"/>
        <color indexed="8"/>
        <rFont val="Calibri"/>
        <family val="2"/>
      </rPr>
      <t>Digitar</t>
    </r>
    <r>
      <rPr>
        <sz val="11"/>
        <color theme="1"/>
        <rFont val="Calibri"/>
        <family val="2"/>
      </rPr>
      <t xml:space="preserve"> siape</t>
    </r>
  </si>
  <si>
    <r>
      <rPr>
        <b/>
        <sz val="11"/>
        <color indexed="8"/>
        <rFont val="Calibri"/>
        <family val="2"/>
      </rPr>
      <t>Marcar</t>
    </r>
    <r>
      <rPr>
        <sz val="11"/>
        <color theme="1"/>
        <rFont val="Calibri"/>
        <family val="2"/>
      </rPr>
      <t xml:space="preserve"> o regime de trabalho</t>
    </r>
  </si>
  <si>
    <t>Marcar uma das opções</t>
  </si>
  <si>
    <r>
      <rPr>
        <b/>
        <sz val="11"/>
        <color indexed="8"/>
        <rFont val="Calibri"/>
        <family val="2"/>
      </rPr>
      <t>Marcar</t>
    </r>
    <r>
      <rPr>
        <sz val="11"/>
        <color theme="1"/>
        <rFont val="Calibri"/>
        <family val="2"/>
      </rPr>
      <t xml:space="preserve"> se é membro de programa </t>
    </r>
    <r>
      <rPr>
        <i/>
        <sz val="11"/>
        <color indexed="8"/>
        <rFont val="Calibri"/>
        <family val="2"/>
      </rPr>
      <t>stricto sensu</t>
    </r>
  </si>
  <si>
    <r>
      <rPr>
        <b/>
        <sz val="11"/>
        <color indexed="8"/>
        <rFont val="Calibri"/>
        <family val="2"/>
      </rPr>
      <t>Indicar</t>
    </r>
    <r>
      <rPr>
        <sz val="11"/>
        <color theme="1"/>
        <rFont val="Calibri"/>
        <family val="2"/>
      </rPr>
      <t xml:space="preserve"> o número de componentes curriculares</t>
    </r>
  </si>
  <si>
    <t>Ensino</t>
  </si>
  <si>
    <t>Usar as setas para aumentar ou diminuir a quantidade de componentes</t>
  </si>
  <si>
    <t>Esta ação abrirá a seguir as linhas a serem digitadas</t>
  </si>
  <si>
    <r>
      <rPr>
        <b/>
        <sz val="11"/>
        <color indexed="8"/>
        <rFont val="Calibri"/>
        <family val="2"/>
      </rPr>
      <t>Selecionar</t>
    </r>
    <r>
      <rPr>
        <sz val="11"/>
        <color theme="1"/>
        <rFont val="Calibri"/>
        <family val="2"/>
      </rPr>
      <t xml:space="preserve"> o nível de ensino</t>
    </r>
  </si>
  <si>
    <r>
      <rPr>
        <b/>
        <sz val="11"/>
        <color indexed="8"/>
        <rFont val="Calibri"/>
        <family val="2"/>
      </rPr>
      <t>Digitar</t>
    </r>
    <r>
      <rPr>
        <sz val="11"/>
        <color theme="1"/>
        <rFont val="Calibri"/>
        <family val="2"/>
      </rPr>
      <t xml:space="preserve"> o nome do componente curricular</t>
    </r>
  </si>
  <si>
    <r>
      <t xml:space="preserve">Clicar no botão </t>
    </r>
    <r>
      <rPr>
        <b/>
        <sz val="14"/>
        <color indexed="10"/>
        <rFont val="Calibri"/>
        <family val="2"/>
      </rPr>
      <t>Registrar</t>
    </r>
  </si>
  <si>
    <t>Sala de aula</t>
  </si>
  <si>
    <r>
      <t xml:space="preserve">Clicar no botão </t>
    </r>
    <r>
      <rPr>
        <b/>
        <sz val="14"/>
        <color indexed="10"/>
        <rFont val="Calibri"/>
        <family val="2"/>
      </rPr>
      <t>APROPRIAR</t>
    </r>
  </si>
  <si>
    <r>
      <t xml:space="preserve">esta ação preencherá automaticamente as informações e as horas totais em sala de aula, dado que irá para a aba </t>
    </r>
    <r>
      <rPr>
        <b/>
        <sz val="11"/>
        <color indexed="8"/>
        <rFont val="Calibri"/>
        <family val="2"/>
      </rPr>
      <t>plano de trabalho</t>
    </r>
  </si>
  <si>
    <t>Não se aplica</t>
  </si>
  <si>
    <t>Preparação</t>
  </si>
  <si>
    <t>Limite máximo (h)  (mínimo 4h)</t>
  </si>
  <si>
    <r>
      <t xml:space="preserve">Total 
Preparação </t>
    </r>
    <r>
      <rPr>
        <sz val="8"/>
        <color indexed="10"/>
        <rFont val="Verdana"/>
        <family val="2"/>
      </rPr>
      <t>(valor entre min e max)</t>
    </r>
  </si>
  <si>
    <t xml:space="preserve">Horas
Semanais </t>
  </si>
  <si>
    <t xml:space="preserve">Art. 17. </t>
  </si>
  <si>
    <t>limites da pesquisa</t>
  </si>
  <si>
    <t>O artigo 17 determina a carga horária mínima de 4h para preparação e a máxima de acordo com um fator de correção que depende dos componentes curriculares, a planilha calcula o intervalo, o docente deve preencher com um valor do intervalo, incluído os extremos.</t>
  </si>
  <si>
    <t>Outras atividades de ensino</t>
  </si>
  <si>
    <t>Art.19. tabela 2</t>
  </si>
  <si>
    <t>Orientações e coorientações</t>
  </si>
  <si>
    <t>Projetos</t>
  </si>
  <si>
    <t>Comitês</t>
  </si>
  <si>
    <r>
      <t xml:space="preserve">A RAD não estabelece limites que relacionem a quantidades de alunos/projetos/comitês a horas, por isso o docente deve </t>
    </r>
    <r>
      <rPr>
        <sz val="11"/>
        <color indexed="10"/>
        <rFont val="Calibri"/>
        <family val="2"/>
      </rPr>
      <t>indicar as duas informações</t>
    </r>
    <r>
      <rPr>
        <sz val="11"/>
        <color theme="1"/>
        <rFont val="Calibri"/>
        <family val="2"/>
      </rPr>
      <t xml:space="preserve">. O limite em horas aparece na coluna "limite (h)", este limite se atualiza automaticamente quando docente escolhe o </t>
    </r>
    <r>
      <rPr>
        <sz val="11"/>
        <color indexed="10"/>
        <rFont val="Calibri"/>
        <family val="2"/>
      </rPr>
      <t>regime de trabalho</t>
    </r>
    <r>
      <rPr>
        <sz val="11"/>
        <color theme="1"/>
        <rFont val="Calibri"/>
        <family val="2"/>
      </rPr>
      <t xml:space="preserve"> na aba</t>
    </r>
    <r>
      <rPr>
        <sz val="11"/>
        <color indexed="10"/>
        <rFont val="Calibri"/>
        <family val="2"/>
      </rPr>
      <t xml:space="preserve"> identificação</t>
    </r>
    <r>
      <rPr>
        <sz val="11"/>
        <color theme="1"/>
        <rFont val="Calibri"/>
        <family val="2"/>
      </rPr>
      <t>.</t>
    </r>
  </si>
  <si>
    <r>
      <rPr>
        <b/>
        <sz val="11"/>
        <color indexed="8"/>
        <rFont val="Calibri"/>
        <family val="2"/>
      </rPr>
      <t>Indicar</t>
    </r>
    <r>
      <rPr>
        <sz val="11"/>
        <color theme="1"/>
        <rFont val="Calibri"/>
        <family val="2"/>
      </rPr>
      <t xml:space="preserve"> o número de atividades de extensão </t>
    </r>
  </si>
  <si>
    <r>
      <rPr>
        <b/>
        <sz val="11"/>
        <color indexed="8"/>
        <rFont val="Calibri"/>
        <family val="2"/>
      </rPr>
      <t>Clicar</t>
    </r>
    <r>
      <rPr>
        <sz val="11"/>
        <color theme="1"/>
        <rFont val="Calibri"/>
        <family val="2"/>
      </rPr>
      <t xml:space="preserve"> no botão </t>
    </r>
    <r>
      <rPr>
        <b/>
        <sz val="14"/>
        <color indexed="10"/>
        <rFont val="Calibri"/>
        <family val="2"/>
      </rPr>
      <t>ATUALIZAR</t>
    </r>
  </si>
  <si>
    <r>
      <t xml:space="preserve">o botão </t>
    </r>
    <r>
      <rPr>
        <sz val="11"/>
        <color indexed="10"/>
        <rFont val="Calibri"/>
        <family val="2"/>
      </rPr>
      <t>recomeçar</t>
    </r>
    <r>
      <rPr>
        <sz val="11"/>
        <color theme="1"/>
        <rFont val="Calibri"/>
        <family val="2"/>
      </rPr>
      <t xml:space="preserve"> deve ser utilizado para </t>
    </r>
    <r>
      <rPr>
        <sz val="11"/>
        <color indexed="10"/>
        <rFont val="Calibri"/>
        <family val="2"/>
      </rPr>
      <t>retornar a situação inicial</t>
    </r>
    <r>
      <rPr>
        <sz val="11"/>
        <color theme="1"/>
        <rFont val="Calibri"/>
        <family val="2"/>
      </rPr>
      <t>.</t>
    </r>
  </si>
  <si>
    <t xml:space="preserve">esta ação exibirá linhas para o preenchimento do título da atividade e das horas de cada atividade. </t>
  </si>
  <si>
    <t>Estas informações irão automaticamente para a aba plano de trabalho.</t>
  </si>
  <si>
    <t>O limite em horas aparece na coluna "máximo", este limite se atualiza automaticamente quando docente escolhe o regime de trabalho na aba identificação.</t>
  </si>
  <si>
    <t>Observações</t>
  </si>
  <si>
    <t>Abas</t>
  </si>
  <si>
    <t>Capacitação</t>
  </si>
  <si>
    <t>Plano de trabalho</t>
  </si>
  <si>
    <t>Atividades de Gestão</t>
  </si>
  <si>
    <t>preenchimento automátco</t>
  </si>
  <si>
    <r>
      <rPr>
        <b/>
        <sz val="11"/>
        <color indexed="8"/>
        <rFont val="Calibri"/>
        <family val="2"/>
      </rPr>
      <t>Digitar</t>
    </r>
    <r>
      <rPr>
        <sz val="11"/>
        <color theme="1"/>
        <rFont val="Calibri"/>
        <family val="2"/>
      </rPr>
      <t xml:space="preserve"> as informações em cada linha, título da atividade e horas.</t>
    </r>
  </si>
  <si>
    <r>
      <rPr>
        <b/>
        <sz val="11"/>
        <color indexed="8"/>
        <rFont val="Calibri"/>
        <family val="2"/>
      </rPr>
      <t>Indicar</t>
    </r>
    <r>
      <rPr>
        <sz val="11"/>
        <color theme="1"/>
        <rFont val="Calibri"/>
        <family val="2"/>
      </rPr>
      <t xml:space="preserve"> o número de horas dedicadas a atividades de capacitação. </t>
    </r>
  </si>
  <si>
    <t>Relate as atividades de Extesão previstas - indique o identificador dos Projetos na PROEX
(máximo 500 caracteres)</t>
  </si>
  <si>
    <t>Relate as atividades de pesquisa previstas - indique o identificador dos Projetos na PROPESP
(máximo 500 caracteres)</t>
  </si>
  <si>
    <t>CD</t>
  </si>
  <si>
    <t>Cargo de Direção:</t>
  </si>
  <si>
    <r>
      <rPr>
        <b/>
        <sz val="11"/>
        <color indexed="8"/>
        <rFont val="Calibri"/>
        <family val="2"/>
      </rPr>
      <t xml:space="preserve">Indicar número de horas-aula </t>
    </r>
    <r>
      <rPr>
        <sz val="11"/>
        <color theme="1"/>
        <rFont val="Calibri"/>
        <family val="2"/>
      </rPr>
      <t xml:space="preserve"> a partir de 5, que equivale a 4 horas e o limite máximo (calculado na célula H26 ao lado)</t>
    </r>
  </si>
  <si>
    <t>Se esta ação não for preenchida, as horas não serão corretamente computadas quando for apropriado no passo 14°.</t>
  </si>
  <si>
    <r>
      <rPr>
        <b/>
        <sz val="11"/>
        <color indexed="8"/>
        <rFont val="Calibri"/>
        <family val="2"/>
      </rPr>
      <t xml:space="preserve">Indicar </t>
    </r>
    <r>
      <rPr>
        <sz val="11"/>
        <color theme="1"/>
        <rFont val="Calibri"/>
        <family val="2"/>
      </rPr>
      <t>em cada linha as atividades que executa/participa</t>
    </r>
  </si>
  <si>
    <t>Limite por atividade (h)</t>
  </si>
  <si>
    <t>limites da gestão</t>
  </si>
  <si>
    <t>Total em Atividades de Pesquisa</t>
  </si>
  <si>
    <t xml:space="preserve">Total em Outras Atividades de Ensino </t>
  </si>
  <si>
    <t>Total em  Atividades de Gestão e Assessoramento a Administração</t>
  </si>
  <si>
    <t>Total em  Atividades de Capacitação</t>
  </si>
  <si>
    <t>Total em Atividades de Extensão</t>
  </si>
  <si>
    <t>Descrição das Atividades de Extensão</t>
  </si>
  <si>
    <t>Horas média por atividade</t>
  </si>
  <si>
    <t>NOME</t>
  </si>
  <si>
    <t>LOTAÇÃO</t>
  </si>
  <si>
    <t>se não clicar em registrar novamente a apropriação calcula a soma errado.</t>
  </si>
  <si>
    <r>
      <rPr>
        <b/>
        <sz val="11"/>
        <color indexed="8"/>
        <rFont val="Calibri"/>
        <family val="2"/>
      </rPr>
      <t xml:space="preserve">Indicar </t>
    </r>
    <r>
      <rPr>
        <sz val="11"/>
        <color theme="1"/>
        <rFont val="Calibri"/>
        <family val="2"/>
      </rPr>
      <t xml:space="preserve">em cada linha os alunos atendidos (coluna D) e </t>
    </r>
    <r>
      <rPr>
        <b/>
        <sz val="11"/>
        <color indexed="8"/>
        <rFont val="Calibri"/>
        <family val="2"/>
      </rPr>
      <t>Indicar</t>
    </r>
    <r>
      <rPr>
        <sz val="11"/>
        <color theme="1"/>
        <rFont val="Calibri"/>
        <family val="2"/>
      </rPr>
      <t xml:space="preserve"> quantidade de horas médias dedicadas (coluna F) para atividade observando o limite (coluna E)</t>
    </r>
  </si>
  <si>
    <r>
      <rPr>
        <b/>
        <sz val="11"/>
        <color indexed="8"/>
        <rFont val="Calibri"/>
        <family val="2"/>
      </rPr>
      <t xml:space="preserve">Indicar </t>
    </r>
    <r>
      <rPr>
        <sz val="11"/>
        <color theme="1"/>
        <rFont val="Calibri"/>
        <family val="2"/>
      </rPr>
      <t xml:space="preserve">em cada linha os projetos em que participa (coluna D) e </t>
    </r>
    <r>
      <rPr>
        <b/>
        <sz val="11"/>
        <color indexed="8"/>
        <rFont val="Calibri"/>
        <family val="2"/>
      </rPr>
      <t>Indicar</t>
    </r>
    <r>
      <rPr>
        <sz val="11"/>
        <color theme="1"/>
        <rFont val="Calibri"/>
        <family val="2"/>
      </rPr>
      <t xml:space="preserve"> quantidade de horas médias dedicadas (coluna F) para atividade observando o limite (coluna E)</t>
    </r>
  </si>
  <si>
    <r>
      <rPr>
        <b/>
        <sz val="11"/>
        <color indexed="8"/>
        <rFont val="Calibri"/>
        <family val="2"/>
      </rPr>
      <t xml:space="preserve">Indicar </t>
    </r>
    <r>
      <rPr>
        <sz val="11"/>
        <color theme="1"/>
        <rFont val="Calibri"/>
        <family val="2"/>
      </rPr>
      <t xml:space="preserve">em cada linha participação em comitês (coluna D) e </t>
    </r>
    <r>
      <rPr>
        <b/>
        <sz val="11"/>
        <color indexed="8"/>
        <rFont val="Calibri"/>
        <family val="2"/>
      </rPr>
      <t>Indicar</t>
    </r>
    <r>
      <rPr>
        <sz val="11"/>
        <color theme="1"/>
        <rFont val="Calibri"/>
        <family val="2"/>
      </rPr>
      <t xml:space="preserve"> quantidade de horas médias dedicadas (coluna F) para atividade observando o limite (coluna E)</t>
    </r>
  </si>
  <si>
    <t>25º</t>
  </si>
  <si>
    <t>26º</t>
  </si>
  <si>
    <t>27º</t>
  </si>
  <si>
    <t>28º</t>
  </si>
  <si>
    <t>Descrição</t>
  </si>
  <si>
    <t>29º</t>
  </si>
  <si>
    <t>30º</t>
  </si>
  <si>
    <t>Espaço para detalhamento das atividades - aparece direto no plano de trabalho.</t>
  </si>
  <si>
    <r>
      <rPr>
        <b/>
        <sz val="11"/>
        <color indexed="8"/>
        <rFont val="Calibri"/>
        <family val="2"/>
      </rPr>
      <t xml:space="preserve">Indicar </t>
    </r>
    <r>
      <rPr>
        <sz val="11"/>
        <color theme="1"/>
        <rFont val="Calibri"/>
        <family val="2"/>
      </rPr>
      <t xml:space="preserve">em cada linha o número de horas dedicadas </t>
    </r>
    <r>
      <rPr>
        <sz val="11"/>
        <color indexed="10"/>
        <rFont val="Calibri"/>
        <family val="2"/>
      </rPr>
      <t>(coluna D)</t>
    </r>
    <r>
      <rPr>
        <sz val="11"/>
        <color theme="1"/>
        <rFont val="Calibri"/>
        <family val="2"/>
      </rPr>
      <t xml:space="preserve"> para as atividades observando o limite (coluna C)</t>
    </r>
  </si>
  <si>
    <r>
      <t xml:space="preserve">Espaço para detalhamento das atividades - </t>
    </r>
    <r>
      <rPr>
        <b/>
        <sz val="14"/>
        <color indexed="10"/>
        <rFont val="Calibri"/>
        <family val="2"/>
      </rPr>
      <t>INCLUIR NÚMERO DAS PORTARIAS</t>
    </r>
    <r>
      <rPr>
        <b/>
        <sz val="14"/>
        <color indexed="8"/>
        <rFont val="Calibri"/>
        <family val="2"/>
      </rPr>
      <t xml:space="preserve"> - aparece direto no plano de trabalho.</t>
    </r>
  </si>
  <si>
    <t>Apresentação: A Planilha desenvolvida pela DDI para apoio ao preenchimento do Plano de Atividade Docente é um instrumento de auxílio aos docentes e a gestão dos Campus na elaboração do Plano, é um instrumento de apoio para a discussão e distribuição das atividades a serem realizadas pelos docentes. O fluxo interno de tramitação do Plano de Atividades Docente compete a cada unidade.</t>
  </si>
  <si>
    <r>
      <rPr>
        <b/>
        <sz val="14"/>
        <color indexed="10"/>
        <rFont val="Calibri"/>
        <family val="2"/>
      </rPr>
      <t>EM CASO DE NECESSIDADE DE CORREÇÃO</t>
    </r>
    <r>
      <rPr>
        <b/>
        <sz val="11"/>
        <color indexed="8"/>
        <rFont val="Calibri"/>
        <family val="2"/>
      </rPr>
      <t xml:space="preserve"> Clicar novamente no botão </t>
    </r>
    <r>
      <rPr>
        <b/>
        <sz val="14"/>
        <color indexed="10"/>
        <rFont val="Calibri"/>
        <family val="2"/>
      </rPr>
      <t>REGISTRAR</t>
    </r>
  </si>
  <si>
    <t>Orientações gerais para o preenchimento:</t>
  </si>
  <si>
    <r>
      <t xml:space="preserve">Células com </t>
    </r>
    <r>
      <rPr>
        <sz val="11"/>
        <color indexed="10"/>
        <rFont val="Calibri"/>
        <family val="2"/>
      </rPr>
      <t>apresentação de vermelho</t>
    </r>
    <r>
      <rPr>
        <sz val="11"/>
        <color theme="1"/>
        <rFont val="Calibri"/>
        <family val="2"/>
      </rPr>
      <t xml:space="preserve"> devem ser digitadas.</t>
    </r>
  </si>
  <si>
    <t>a seta trava no limite estabelecido pelo RAD e se o docente tentar digitar um valor que excede estes limites aparecerá uma mensagem de erro.</t>
  </si>
  <si>
    <t>As setas travam nos limites estabelecidos pelo RAD e sempre que o docente tentar digitar um valor que excede estes limites aparecerá uma mensagem de erro.</t>
  </si>
  <si>
    <r>
      <rPr>
        <sz val="16"/>
        <color indexed="10"/>
        <rFont val="Calibri"/>
        <family val="2"/>
      </rPr>
      <t>Não</t>
    </r>
    <r>
      <rPr>
        <sz val="11"/>
        <color theme="1"/>
        <rFont val="Calibri"/>
        <family val="2"/>
      </rPr>
      <t xml:space="preserve"> utilizar o recurso de "</t>
    </r>
    <r>
      <rPr>
        <sz val="18"/>
        <color indexed="10"/>
        <rFont val="Calibri"/>
        <family val="2"/>
      </rPr>
      <t>arrastar</t>
    </r>
    <r>
      <rPr>
        <sz val="11"/>
        <color theme="1"/>
        <rFont val="Calibri"/>
        <family val="2"/>
      </rPr>
      <t>".</t>
    </r>
  </si>
  <si>
    <r>
      <rPr>
        <b/>
        <sz val="11"/>
        <color indexed="8"/>
        <rFont val="Calibri"/>
        <family val="2"/>
      </rPr>
      <t>Digitar</t>
    </r>
    <r>
      <rPr>
        <sz val="11"/>
        <color theme="1"/>
        <rFont val="Calibri"/>
        <family val="2"/>
      </rPr>
      <t xml:space="preserve"> o nome do do curso, quantidade de horas semanais, de turmas e de semanas.</t>
    </r>
  </si>
  <si>
    <t>Esta ação irá transformar as horas-aula em horas relógio.</t>
  </si>
  <si>
    <t>Total Horas</t>
  </si>
  <si>
    <t>Total de horas semanais</t>
  </si>
  <si>
    <r>
      <rPr>
        <sz val="11"/>
        <color indexed="10"/>
        <rFont val="Calibri"/>
        <family val="2"/>
      </rPr>
      <t>Sempre que o valor exceder os limites referenciais</t>
    </r>
    <r>
      <rPr>
        <sz val="11"/>
        <color theme="1"/>
        <rFont val="Calibri"/>
        <family val="2"/>
      </rPr>
      <t xml:space="preserve"> estabelecidos no RAD aparecerá </t>
    </r>
    <r>
      <rPr>
        <b/>
        <sz val="16"/>
        <color indexed="8"/>
        <rFont val="Calibri"/>
        <family val="2"/>
      </rPr>
      <t>"</t>
    </r>
    <r>
      <rPr>
        <b/>
        <sz val="16"/>
        <color indexed="10"/>
        <rFont val="Calibri"/>
        <family val="2"/>
      </rPr>
      <t>EM VERMELHO</t>
    </r>
    <r>
      <rPr>
        <b/>
        <sz val="16"/>
        <color indexed="8"/>
        <rFont val="Calibri"/>
        <family val="2"/>
      </rPr>
      <t>"</t>
    </r>
  </si>
  <si>
    <t>Sempre que o valor exceder os limites referenciais estabelecidos no RAD aparecerá "EM VERMELHO"</t>
  </si>
  <si>
    <t>Total de horas por atividade</t>
  </si>
  <si>
    <t>Exercício de funções gratificadas (ou cargo de direção CD)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</si>
</sst>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i/>
      <sz val="12"/>
      <color indexed="8"/>
      <name val="Times New Roman"/>
      <family val="1"/>
    </font>
    <font>
      <b/>
      <sz val="10"/>
      <color indexed="17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color indexed="8"/>
      <name val="Verdana"/>
      <family val="2"/>
    </font>
    <font>
      <b/>
      <i/>
      <sz val="14"/>
      <color indexed="8"/>
      <name val="Verdana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sz val="8"/>
      <color indexed="10"/>
      <name val="Verdana"/>
      <family val="2"/>
    </font>
    <font>
      <sz val="8"/>
      <color indexed="8"/>
      <name val="Segoe U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10"/>
      <name val="Calibri"/>
      <family val="2"/>
    </font>
    <font>
      <sz val="18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8"/>
      <color indexed="8"/>
      <name val="Verdana"/>
      <family val="2"/>
    </font>
    <font>
      <sz val="16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20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color indexed="10"/>
      <name val="Calibri"/>
      <family val="2"/>
    </font>
    <font>
      <b/>
      <sz val="7"/>
      <color indexed="10"/>
      <name val="Calibri"/>
      <family val="2"/>
    </font>
    <font>
      <sz val="10"/>
      <color indexed="9"/>
      <name val="Verdana"/>
      <family val="2"/>
    </font>
    <font>
      <i/>
      <sz val="8"/>
      <color indexed="9"/>
      <name val="Verdana"/>
      <family val="2"/>
    </font>
    <font>
      <sz val="20"/>
      <color indexed="10"/>
      <name val="Calibri"/>
      <family val="2"/>
    </font>
    <font>
      <i/>
      <sz val="10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8"/>
      <color theme="1"/>
      <name val="Verdana"/>
      <family val="2"/>
    </font>
    <font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sz val="8"/>
      <color theme="1"/>
      <name val="Calibri"/>
      <family val="2"/>
    </font>
    <font>
      <i/>
      <sz val="8"/>
      <color theme="1"/>
      <name val="Verdana"/>
      <family val="2"/>
    </font>
    <font>
      <sz val="8"/>
      <color rgb="FFFF0000"/>
      <name val="Verdana"/>
      <family val="2"/>
    </font>
    <font>
      <sz val="20"/>
      <color theme="1"/>
      <name val="Calibri"/>
      <family val="2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7"/>
      <color rgb="FFFF0000"/>
      <name val="Calibri"/>
      <family val="2"/>
    </font>
    <font>
      <sz val="10"/>
      <color theme="0"/>
      <name val="Verdana"/>
      <family val="2"/>
    </font>
    <font>
      <i/>
      <sz val="8"/>
      <color theme="0"/>
      <name val="Verdana"/>
      <family val="2"/>
    </font>
    <font>
      <b/>
      <sz val="14"/>
      <color theme="1"/>
      <name val="Calibri"/>
      <family val="2"/>
    </font>
    <font>
      <sz val="20"/>
      <color rgb="FFFF0000"/>
      <name val="Calibri"/>
      <family val="2"/>
    </font>
    <font>
      <i/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7000396251678"/>
      </left>
      <right/>
      <top style="thin"/>
      <bottom style="thin">
        <color theme="0" tint="-0.24997000396251678"/>
      </bottom>
    </border>
    <border>
      <left/>
      <right/>
      <top style="thin"/>
      <bottom style="thin">
        <color theme="0" tint="-0.24997000396251678"/>
      </bottom>
    </border>
    <border>
      <left/>
      <right style="thin">
        <color theme="0" tint="-0.24997000396251678"/>
      </right>
      <top style="thin"/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</cellStyleXfs>
  <cellXfs count="3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2" fontId="82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2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86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33" borderId="0" xfId="0" applyFont="1" applyFill="1" applyBorder="1" applyAlignment="1">
      <alignment horizontal="right" vertical="center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Border="1" applyAlignment="1">
      <alignment horizontal="right" vertical="center"/>
    </xf>
    <xf numFmtId="0" fontId="88" fillId="0" borderId="0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2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2" fontId="87" fillId="0" borderId="0" xfId="0" applyNumberFormat="1" applyFont="1" applyAlignment="1">
      <alignment horizontal="right" vertical="center"/>
    </xf>
    <xf numFmtId="0" fontId="92" fillId="0" borderId="0" xfId="0" applyFont="1" applyAlignment="1">
      <alignment vertical="center"/>
    </xf>
    <xf numFmtId="2" fontId="92" fillId="0" borderId="0" xfId="0" applyNumberFormat="1" applyFont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3" fillId="34" borderId="0" xfId="0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 horizontal="center" vertical="center"/>
    </xf>
    <xf numFmtId="0" fontId="94" fillId="34" borderId="0" xfId="0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 vertical="center" textRotation="90"/>
    </xf>
    <xf numFmtId="0" fontId="89" fillId="34" borderId="0" xfId="0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89" fillId="34" borderId="12" xfId="0" applyFont="1" applyFill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 textRotation="90"/>
    </xf>
    <xf numFmtId="0" fontId="87" fillId="0" borderId="14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2" fontId="96" fillId="0" borderId="13" xfId="0" applyNumberFormat="1" applyFont="1" applyBorder="1" applyAlignment="1">
      <alignment horizontal="center" vertical="center"/>
    </xf>
    <xf numFmtId="0" fontId="93" fillId="34" borderId="0" xfId="0" applyFont="1" applyFill="1" applyAlignment="1">
      <alignment/>
    </xf>
    <xf numFmtId="0" fontId="96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87" fillId="0" borderId="13" xfId="0" applyFont="1" applyBorder="1" applyAlignment="1">
      <alignment/>
    </xf>
    <xf numFmtId="2" fontId="85" fillId="0" borderId="15" xfId="0" applyNumberFormat="1" applyFont="1" applyBorder="1" applyAlignment="1">
      <alignment horizontal="center" vertical="center"/>
    </xf>
    <xf numFmtId="2" fontId="85" fillId="0" borderId="16" xfId="0" applyNumberFormat="1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2" fontId="85" fillId="0" borderId="12" xfId="0" applyNumberFormat="1" applyFont="1" applyBorder="1" applyAlignment="1">
      <alignment horizontal="center" vertical="center"/>
    </xf>
    <xf numFmtId="0" fontId="96" fillId="34" borderId="17" xfId="0" applyFont="1" applyFill="1" applyBorder="1" applyAlignment="1">
      <alignment horizontal="center" vertical="center"/>
    </xf>
    <xf numFmtId="0" fontId="92" fillId="0" borderId="14" xfId="0" applyFont="1" applyBorder="1" applyAlignment="1">
      <alignment vertical="center" textRotation="90"/>
    </xf>
    <xf numFmtId="0" fontId="89" fillId="34" borderId="17" xfId="0" applyFont="1" applyFill="1" applyBorder="1" applyAlignment="1">
      <alignment horizontal="center" vertical="center"/>
    </xf>
    <xf numFmtId="0" fontId="89" fillId="34" borderId="17" xfId="0" applyFont="1" applyFill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2" fontId="96" fillId="0" borderId="17" xfId="0" applyNumberFormat="1" applyFont="1" applyBorder="1" applyAlignment="1">
      <alignment horizontal="center" vertical="center"/>
    </xf>
    <xf numFmtId="2" fontId="85" fillId="0" borderId="17" xfId="0" applyNumberFormat="1" applyFont="1" applyBorder="1" applyAlignment="1">
      <alignment horizontal="center" vertical="center"/>
    </xf>
    <xf numFmtId="2" fontId="85" fillId="0" borderId="17" xfId="0" applyNumberFormat="1" applyFont="1" applyFill="1" applyBorder="1" applyAlignment="1">
      <alignment horizontal="center" vertical="center"/>
    </xf>
    <xf numFmtId="0" fontId="96" fillId="0" borderId="17" xfId="0" applyFont="1" applyBorder="1" applyAlignment="1" quotePrefix="1">
      <alignment horizontal="center" vertical="center"/>
    </xf>
    <xf numFmtId="0" fontId="85" fillId="34" borderId="17" xfId="0" applyFont="1" applyFill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9" fillId="33" borderId="0" xfId="0" applyFont="1" applyFill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8" fillId="0" borderId="17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/>
    </xf>
    <xf numFmtId="0" fontId="99" fillId="0" borderId="17" xfId="0" applyFont="1" applyBorder="1" applyAlignment="1">
      <alignment horizontal="center" vertical="center"/>
    </xf>
    <xf numFmtId="2" fontId="9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7" fillId="34" borderId="17" xfId="0" applyFont="1" applyFill="1" applyBorder="1" applyAlignment="1">
      <alignment horizontal="center" vertical="center"/>
    </xf>
    <xf numFmtId="0" fontId="97" fillId="34" borderId="17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5" fillId="0" borderId="0" xfId="0" applyFont="1" applyAlignment="1">
      <alignment horizontal="right" vertical="center"/>
    </xf>
    <xf numFmtId="0" fontId="85" fillId="0" borderId="0" xfId="0" applyFont="1" applyAlignment="1">
      <alignment/>
    </xf>
    <xf numFmtId="0" fontId="96" fillId="0" borderId="0" xfId="0" applyFont="1" applyAlignment="1">
      <alignment vertical="center"/>
    </xf>
    <xf numFmtId="2" fontId="96" fillId="0" borderId="0" xfId="0" applyNumberFormat="1" applyFont="1" applyAlignment="1">
      <alignment vertical="center"/>
    </xf>
    <xf numFmtId="0" fontId="8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6" fillId="0" borderId="0" xfId="0" applyFont="1" applyBorder="1" applyAlignment="1">
      <alignment vertical="center"/>
    </xf>
    <xf numFmtId="2" fontId="96" fillId="0" borderId="0" xfId="0" applyNumberFormat="1" applyFont="1" applyBorder="1" applyAlignment="1">
      <alignment vertical="center"/>
    </xf>
    <xf numFmtId="0" fontId="96" fillId="34" borderId="1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34" borderId="18" xfId="0" applyFont="1" applyFill="1" applyBorder="1" applyAlignment="1">
      <alignment horizontal="center" vertical="center"/>
    </xf>
    <xf numFmtId="0" fontId="96" fillId="34" borderId="19" xfId="0" applyFont="1" applyFill="1" applyBorder="1" applyAlignment="1">
      <alignment horizontal="center" vertical="center" wrapText="1"/>
    </xf>
    <xf numFmtId="0" fontId="96" fillId="34" borderId="19" xfId="0" applyFont="1" applyFill="1" applyBorder="1" applyAlignment="1">
      <alignment horizontal="center" vertical="center"/>
    </xf>
    <xf numFmtId="0" fontId="89" fillId="33" borderId="0" xfId="0" applyFont="1" applyFill="1" applyAlignment="1">
      <alignment horizontal="right" vertical="center"/>
    </xf>
    <xf numFmtId="2" fontId="85" fillId="0" borderId="17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wrapText="1"/>
    </xf>
    <xf numFmtId="0" fontId="85" fillId="0" borderId="17" xfId="0" applyFont="1" applyBorder="1" applyAlignment="1">
      <alignment horizontal="left" wrapText="1"/>
    </xf>
    <xf numFmtId="0" fontId="96" fillId="34" borderId="17" xfId="0" applyFont="1" applyFill="1" applyBorder="1" applyAlignment="1">
      <alignment vertical="center" wrapText="1"/>
    </xf>
    <xf numFmtId="164" fontId="85" fillId="0" borderId="17" xfId="0" applyNumberFormat="1" applyFont="1" applyBorder="1" applyAlignment="1">
      <alignment horizontal="center" vertical="center"/>
    </xf>
    <xf numFmtId="0" fontId="85" fillId="0" borderId="17" xfId="0" applyFont="1" applyBorder="1" applyAlignment="1">
      <alignment horizontal="right" vertical="center"/>
    </xf>
    <xf numFmtId="14" fontId="85" fillId="0" borderId="17" xfId="0" applyNumberFormat="1" applyFont="1" applyBorder="1" applyAlignment="1">
      <alignment horizontal="center" vertical="center"/>
    </xf>
    <xf numFmtId="164" fontId="85" fillId="0" borderId="17" xfId="0" applyNumberFormat="1" applyFont="1" applyBorder="1" applyAlignment="1">
      <alignment horizontal="center" vertical="center" wrapText="1"/>
    </xf>
    <xf numFmtId="164" fontId="96" fillId="34" borderId="17" xfId="0" applyNumberFormat="1" applyFont="1" applyFill="1" applyBorder="1" applyAlignment="1">
      <alignment horizontal="center" vertical="center" wrapText="1"/>
    </xf>
    <xf numFmtId="0" fontId="100" fillId="0" borderId="17" xfId="0" applyFont="1" applyBorder="1" applyAlignment="1">
      <alignment vertical="center"/>
    </xf>
    <xf numFmtId="0" fontId="101" fillId="0" borderId="17" xfId="0" applyFont="1" applyBorder="1" applyAlignment="1">
      <alignment horizontal="left" vertical="center"/>
    </xf>
    <xf numFmtId="0" fontId="88" fillId="0" borderId="17" xfId="0" applyFont="1" applyBorder="1" applyAlignment="1">
      <alignment horizontal="left" vertical="center"/>
    </xf>
    <xf numFmtId="0" fontId="88" fillId="0" borderId="17" xfId="0" applyFont="1" applyBorder="1" applyAlignment="1">
      <alignment vertical="center"/>
    </xf>
    <xf numFmtId="0" fontId="100" fillId="35" borderId="17" xfId="0" applyFont="1" applyFill="1" applyBorder="1" applyAlignment="1">
      <alignment vertical="center"/>
    </xf>
    <xf numFmtId="0" fontId="85" fillId="0" borderId="17" xfId="0" applyFont="1" applyBorder="1" applyAlignment="1">
      <alignment horizontal="center" vertical="center" wrapText="1"/>
    </xf>
    <xf numFmtId="0" fontId="89" fillId="34" borderId="17" xfId="0" applyFont="1" applyFill="1" applyBorder="1" applyAlignment="1">
      <alignment horizontal="center" vertical="center" wrapText="1"/>
    </xf>
    <xf numFmtId="2" fontId="96" fillId="0" borderId="17" xfId="0" applyNumberFormat="1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2" fontId="85" fillId="0" borderId="17" xfId="0" applyNumberFormat="1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/>
    </xf>
    <xf numFmtId="0" fontId="91" fillId="0" borderId="0" xfId="0" applyFont="1" applyBorder="1" applyAlignment="1">
      <alignment/>
    </xf>
    <xf numFmtId="0" fontId="89" fillId="34" borderId="17" xfId="0" applyFont="1" applyFill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93" fillId="0" borderId="0" xfId="0" applyFont="1" applyAlignment="1">
      <alignment/>
    </xf>
    <xf numFmtId="0" fontId="93" fillId="0" borderId="0" xfId="0" applyFont="1" applyBorder="1" applyAlignment="1">
      <alignment horizontal="center"/>
    </xf>
    <xf numFmtId="0" fontId="56" fillId="0" borderId="0" xfId="0" applyFont="1" applyAlignment="1">
      <alignment vertical="center"/>
    </xf>
    <xf numFmtId="0" fontId="103" fillId="0" borderId="0" xfId="0" applyFont="1" applyBorder="1" applyAlignment="1">
      <alignment/>
    </xf>
    <xf numFmtId="0" fontId="89" fillId="34" borderId="0" xfId="0" applyFont="1" applyFill="1" applyBorder="1" applyAlignment="1">
      <alignment horizontal="center" vertical="center" wrapText="1"/>
    </xf>
    <xf numFmtId="0" fontId="95" fillId="36" borderId="13" xfId="0" applyFont="1" applyFill="1" applyBorder="1" applyAlignment="1">
      <alignment horizontal="center" vertical="center"/>
    </xf>
    <xf numFmtId="2" fontId="103" fillId="37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6" fillId="0" borderId="17" xfId="0" applyFont="1" applyBorder="1" applyAlignment="1">
      <alignment horizontal="center" vertical="center"/>
    </xf>
    <xf numFmtId="2" fontId="95" fillId="0" borderId="15" xfId="0" applyNumberFormat="1" applyFont="1" applyBorder="1" applyAlignment="1">
      <alignment horizontal="center" vertical="center" wrapText="1"/>
    </xf>
    <xf numFmtId="2" fontId="96" fillId="0" borderId="13" xfId="0" applyNumberFormat="1" applyFont="1" applyBorder="1" applyAlignment="1">
      <alignment horizontal="center" vertical="center" wrapText="1"/>
    </xf>
    <xf numFmtId="2" fontId="98" fillId="0" borderId="17" xfId="0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164" fontId="96" fillId="38" borderId="17" xfId="0" applyNumberFormat="1" applyFont="1" applyFill="1" applyBorder="1" applyAlignment="1">
      <alignment horizontal="center" vertical="center" wrapText="1"/>
    </xf>
    <xf numFmtId="164" fontId="96" fillId="0" borderId="17" xfId="0" applyNumberFormat="1" applyFont="1" applyBorder="1" applyAlignment="1">
      <alignment horizontal="center" vertical="center"/>
    </xf>
    <xf numFmtId="0" fontId="57" fillId="0" borderId="17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82" fillId="0" borderId="28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104" fillId="0" borderId="17" xfId="0" applyFont="1" applyBorder="1" applyAlignment="1">
      <alignment horizontal="center" vertical="center" wrapText="1"/>
    </xf>
    <xf numFmtId="0" fontId="105" fillId="0" borderId="33" xfId="0" applyFont="1" applyBorder="1" applyAlignment="1">
      <alignment vertical="center" wrapText="1"/>
    </xf>
    <xf numFmtId="0" fontId="84" fillId="0" borderId="34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wrapText="1"/>
    </xf>
    <xf numFmtId="0" fontId="0" fillId="0" borderId="31" xfId="0" applyBorder="1" applyAlignment="1">
      <alignment vertical="center"/>
    </xf>
    <xf numFmtId="0" fontId="0" fillId="0" borderId="37" xfId="0" applyFill="1" applyBorder="1" applyAlignment="1">
      <alignment wrapText="1"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8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85" fillId="0" borderId="17" xfId="0" applyFont="1" applyBorder="1" applyAlignment="1">
      <alignment horizontal="center" vertical="center" wrapText="1"/>
    </xf>
    <xf numFmtId="0" fontId="100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164" fontId="85" fillId="33" borderId="0" xfId="0" applyNumberFormat="1" applyFont="1" applyFill="1" applyBorder="1" applyAlignment="1">
      <alignment horizontal="center" vertical="center"/>
    </xf>
    <xf numFmtId="164" fontId="85" fillId="33" borderId="0" xfId="0" applyNumberFormat="1" applyFont="1" applyFill="1" applyAlignment="1">
      <alignment horizontal="center" vertical="center"/>
    </xf>
    <xf numFmtId="0" fontId="76" fillId="0" borderId="26" xfId="0" applyFont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76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2" fontId="7" fillId="37" borderId="17" xfId="0" applyNumberFormat="1" applyFont="1" applyFill="1" applyBorder="1" applyAlignment="1">
      <alignment horizontal="center" vertical="center"/>
    </xf>
    <xf numFmtId="0" fontId="85" fillId="0" borderId="17" xfId="0" applyFont="1" applyBorder="1" applyAlignment="1">
      <alignment horizontal="justify" vertical="center" wrapText="1"/>
    </xf>
    <xf numFmtId="0" fontId="85" fillId="0" borderId="41" xfId="0" applyFont="1" applyBorder="1" applyAlignment="1">
      <alignment horizontal="left" wrapText="1"/>
    </xf>
    <xf numFmtId="0" fontId="85" fillId="0" borderId="14" xfId="0" applyFont="1" applyBorder="1" applyAlignment="1">
      <alignment horizontal="left" wrapText="1"/>
    </xf>
    <xf numFmtId="0" fontId="85" fillId="0" borderId="16" xfId="0" applyFont="1" applyBorder="1" applyAlignment="1">
      <alignment horizontal="left" wrapText="1"/>
    </xf>
    <xf numFmtId="0" fontId="85" fillId="0" borderId="17" xfId="0" applyFont="1" applyBorder="1" applyAlignment="1">
      <alignment horizontal="center" vertical="center"/>
    </xf>
    <xf numFmtId="0" fontId="89" fillId="34" borderId="17" xfId="0" applyFont="1" applyFill="1" applyBorder="1" applyAlignment="1">
      <alignment horizontal="center" vertical="center" wrapText="1"/>
    </xf>
    <xf numFmtId="0" fontId="96" fillId="37" borderId="19" xfId="0" applyFont="1" applyFill="1" applyBorder="1" applyAlignment="1">
      <alignment horizontal="center" vertical="center" wrapText="1"/>
    </xf>
    <xf numFmtId="0" fontId="96" fillId="37" borderId="19" xfId="0" applyFont="1" applyFill="1" applyBorder="1" applyAlignment="1">
      <alignment vertical="center" wrapText="1"/>
    </xf>
    <xf numFmtId="0" fontId="96" fillId="34" borderId="42" xfId="0" applyFont="1" applyFill="1" applyBorder="1" applyAlignment="1">
      <alignment horizontal="center" vertical="center" wrapText="1"/>
    </xf>
    <xf numFmtId="0" fontId="96" fillId="34" borderId="31" xfId="0" applyFont="1" applyFill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/>
    </xf>
    <xf numFmtId="164" fontId="85" fillId="0" borderId="42" xfId="0" applyNumberFormat="1" applyFont="1" applyBorder="1" applyAlignment="1">
      <alignment horizontal="center" vertical="center"/>
    </xf>
    <xf numFmtId="2" fontId="85" fillId="0" borderId="17" xfId="0" applyNumberFormat="1" applyFont="1" applyBorder="1" applyAlignment="1">
      <alignment horizontal="center" vertical="center" wrapText="1"/>
    </xf>
    <xf numFmtId="0" fontId="82" fillId="0" borderId="43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/>
    </xf>
    <xf numFmtId="0" fontId="84" fillId="0" borderId="38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wrapText="1"/>
    </xf>
    <xf numFmtId="0" fontId="84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5" xfId="0" applyBorder="1" applyAlignment="1">
      <alignment wrapText="1"/>
    </xf>
    <xf numFmtId="0" fontId="96" fillId="37" borderId="31" xfId="0" applyFont="1" applyFill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106" fillId="0" borderId="26" xfId="0" applyFont="1" applyBorder="1" applyAlignment="1">
      <alignment vertical="center" wrapText="1"/>
    </xf>
    <xf numFmtId="0" fontId="85" fillId="0" borderId="19" xfId="0" applyFont="1" applyBorder="1" applyAlignment="1">
      <alignment horizontal="center" vertical="center" wrapText="1"/>
    </xf>
    <xf numFmtId="0" fontId="89" fillId="34" borderId="17" xfId="0" applyFont="1" applyFill="1" applyBorder="1" applyAlignment="1">
      <alignment horizontal="center" vertical="center" wrapText="1"/>
    </xf>
    <xf numFmtId="2" fontId="98" fillId="0" borderId="17" xfId="0" applyNumberFormat="1" applyFont="1" applyBorder="1" applyAlignment="1">
      <alignment horizontal="center" vertical="center"/>
    </xf>
    <xf numFmtId="2" fontId="96" fillId="0" borderId="17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0" fontId="107" fillId="0" borderId="17" xfId="0" applyFont="1" applyBorder="1" applyAlignment="1">
      <alignment vertical="center" wrapText="1"/>
    </xf>
    <xf numFmtId="0" fontId="108" fillId="0" borderId="0" xfId="0" applyFont="1" applyBorder="1" applyAlignment="1">
      <alignment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109" fillId="0" borderId="0" xfId="0" applyFont="1" applyBorder="1" applyAlignment="1">
      <alignment/>
    </xf>
    <xf numFmtId="2" fontId="85" fillId="0" borderId="17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horizontal="center"/>
    </xf>
    <xf numFmtId="0" fontId="67" fillId="0" borderId="0" xfId="0" applyFont="1" applyAlignment="1">
      <alignment/>
    </xf>
    <xf numFmtId="0" fontId="110" fillId="0" borderId="0" xfId="0" applyFont="1" applyBorder="1" applyAlignment="1">
      <alignment/>
    </xf>
    <xf numFmtId="0" fontId="95" fillId="0" borderId="13" xfId="0" applyFont="1" applyBorder="1" applyAlignment="1">
      <alignment horizontal="center" vertical="center" wrapText="1"/>
    </xf>
    <xf numFmtId="0" fontId="111" fillId="0" borderId="46" xfId="0" applyFont="1" applyBorder="1" applyAlignment="1">
      <alignment horizontal="center" vertical="center" wrapText="1"/>
    </xf>
    <xf numFmtId="0" fontId="111" fillId="0" borderId="47" xfId="0" applyFont="1" applyBorder="1" applyAlignment="1">
      <alignment horizontal="center" vertical="center" wrapText="1"/>
    </xf>
    <xf numFmtId="0" fontId="111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105" fillId="0" borderId="49" xfId="0" applyFont="1" applyBorder="1" applyAlignment="1">
      <alignment horizontal="center" vertical="center" wrapText="1"/>
    </xf>
    <xf numFmtId="0" fontId="105" fillId="0" borderId="50" xfId="0" applyFont="1" applyBorder="1" applyAlignment="1">
      <alignment horizontal="center" vertical="center" wrapText="1"/>
    </xf>
    <xf numFmtId="0" fontId="105" fillId="0" borderId="49" xfId="0" applyFont="1" applyBorder="1" applyAlignment="1">
      <alignment horizontal="center" vertical="center"/>
    </xf>
    <xf numFmtId="0" fontId="105" fillId="0" borderId="51" xfId="0" applyFont="1" applyBorder="1" applyAlignment="1">
      <alignment horizontal="center" vertical="center"/>
    </xf>
    <xf numFmtId="0" fontId="105" fillId="0" borderId="50" xfId="0" applyFont="1" applyBorder="1" applyAlignment="1">
      <alignment horizontal="center" vertical="center"/>
    </xf>
    <xf numFmtId="0" fontId="105" fillId="0" borderId="52" xfId="0" applyFont="1" applyBorder="1" applyAlignment="1">
      <alignment horizontal="center" vertical="center"/>
    </xf>
    <xf numFmtId="0" fontId="105" fillId="0" borderId="31" xfId="0" applyFont="1" applyBorder="1" applyAlignment="1">
      <alignment horizontal="center" vertical="center"/>
    </xf>
    <xf numFmtId="0" fontId="105" fillId="0" borderId="53" xfId="0" applyFont="1" applyBorder="1" applyAlignment="1">
      <alignment horizontal="center" vertical="center"/>
    </xf>
    <xf numFmtId="0" fontId="112" fillId="0" borderId="54" xfId="0" applyFont="1" applyBorder="1" applyAlignment="1">
      <alignment horizontal="center" vertical="center"/>
    </xf>
    <xf numFmtId="0" fontId="112" fillId="0" borderId="55" xfId="0" applyFont="1" applyBorder="1" applyAlignment="1">
      <alignment horizontal="center" vertical="center"/>
    </xf>
    <xf numFmtId="0" fontId="112" fillId="0" borderId="56" xfId="0" applyFont="1" applyBorder="1" applyAlignment="1">
      <alignment horizontal="center" vertical="center"/>
    </xf>
    <xf numFmtId="0" fontId="105" fillId="0" borderId="57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58" xfId="0" applyFont="1" applyBorder="1" applyAlignment="1">
      <alignment horizontal="center" vertical="center"/>
    </xf>
    <xf numFmtId="0" fontId="105" fillId="0" borderId="59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5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82" fillId="0" borderId="23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105" fillId="0" borderId="6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0" fontId="103" fillId="0" borderId="61" xfId="0" applyFont="1" applyBorder="1" applyAlignment="1">
      <alignment horizontal="center"/>
    </xf>
    <xf numFmtId="2" fontId="96" fillId="0" borderId="19" xfId="0" applyNumberFormat="1" applyFont="1" applyBorder="1" applyAlignment="1">
      <alignment horizontal="center" vertical="center"/>
    </xf>
    <xf numFmtId="2" fontId="96" fillId="0" borderId="62" xfId="0" applyNumberFormat="1" applyFont="1" applyBorder="1" applyAlignment="1">
      <alignment horizontal="center" vertical="center"/>
    </xf>
    <xf numFmtId="2" fontId="96" fillId="0" borderId="42" xfId="0" applyNumberFormat="1" applyFont="1" applyBorder="1" applyAlignment="1">
      <alignment horizontal="center" vertical="center"/>
    </xf>
    <xf numFmtId="0" fontId="89" fillId="34" borderId="12" xfId="0" applyFont="1" applyFill="1" applyBorder="1" applyAlignment="1">
      <alignment horizontal="center" vertical="center" wrapText="1"/>
    </xf>
    <xf numFmtId="0" fontId="89" fillId="39" borderId="17" xfId="0" applyFont="1" applyFill="1" applyBorder="1" applyAlignment="1">
      <alignment horizontal="center" vertical="center" textRotation="90"/>
    </xf>
    <xf numFmtId="0" fontId="89" fillId="34" borderId="61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0" fontId="89" fillId="39" borderId="19" xfId="0" applyFont="1" applyFill="1" applyBorder="1" applyAlignment="1">
      <alignment horizontal="center" vertical="center" textRotation="90"/>
    </xf>
    <xf numFmtId="0" fontId="89" fillId="39" borderId="62" xfId="0" applyFont="1" applyFill="1" applyBorder="1" applyAlignment="1">
      <alignment horizontal="center" vertical="center" textRotation="90"/>
    </xf>
    <xf numFmtId="0" fontId="89" fillId="39" borderId="42" xfId="0" applyFont="1" applyFill="1" applyBorder="1" applyAlignment="1">
      <alignment horizontal="center" vertical="center" textRotation="90"/>
    </xf>
    <xf numFmtId="0" fontId="89" fillId="34" borderId="0" xfId="0" applyFont="1" applyFill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89" fillId="34" borderId="17" xfId="0" applyFont="1" applyFill="1" applyBorder="1" applyAlignment="1">
      <alignment horizontal="center" vertical="center" wrapText="1"/>
    </xf>
    <xf numFmtId="0" fontId="89" fillId="34" borderId="61" xfId="0" applyFont="1" applyFill="1" applyBorder="1" applyAlignment="1">
      <alignment horizontal="center" vertical="center" wrapText="1"/>
    </xf>
    <xf numFmtId="0" fontId="103" fillId="0" borderId="13" xfId="0" applyFont="1" applyBorder="1" applyAlignment="1">
      <alignment horizontal="center"/>
    </xf>
    <xf numFmtId="0" fontId="113" fillId="0" borderId="19" xfId="0" applyFont="1" applyBorder="1" applyAlignment="1">
      <alignment horizontal="left" vertical="center" wrapText="1"/>
    </xf>
    <xf numFmtId="0" fontId="95" fillId="0" borderId="19" xfId="0" applyFont="1" applyBorder="1" applyAlignment="1">
      <alignment horizontal="left" vertical="center" wrapText="1"/>
    </xf>
    <xf numFmtId="0" fontId="96" fillId="0" borderId="19" xfId="0" applyFont="1" applyBorder="1" applyAlignment="1">
      <alignment horizontal="center" vertical="center"/>
    </xf>
    <xf numFmtId="0" fontId="96" fillId="0" borderId="62" xfId="0" applyFont="1" applyBorder="1" applyAlignment="1">
      <alignment horizontal="center" vertical="center"/>
    </xf>
    <xf numFmtId="0" fontId="96" fillId="0" borderId="42" xfId="0" applyFont="1" applyBorder="1" applyAlignment="1">
      <alignment horizontal="center" vertical="center"/>
    </xf>
    <xf numFmtId="2" fontId="96" fillId="0" borderId="63" xfId="0" applyNumberFormat="1" applyFont="1" applyBorder="1" applyAlignment="1">
      <alignment horizontal="center" vertical="center" wrapText="1"/>
    </xf>
    <xf numFmtId="2" fontId="96" fillId="0" borderId="11" xfId="0" applyNumberFormat="1" applyFont="1" applyBorder="1" applyAlignment="1">
      <alignment horizontal="center" vertical="center" wrapText="1"/>
    </xf>
    <xf numFmtId="2" fontId="96" fillId="0" borderId="64" xfId="0" applyNumberFormat="1" applyFont="1" applyBorder="1" applyAlignment="1">
      <alignment horizontal="center" vertical="center" wrapText="1"/>
    </xf>
    <xf numFmtId="0" fontId="85" fillId="34" borderId="19" xfId="0" applyFont="1" applyFill="1" applyBorder="1" applyAlignment="1">
      <alignment horizontal="center" vertical="center" textRotation="90"/>
    </xf>
    <xf numFmtId="0" fontId="85" fillId="34" borderId="62" xfId="0" applyFont="1" applyFill="1" applyBorder="1" applyAlignment="1">
      <alignment horizontal="center" vertical="center" textRotation="90"/>
    </xf>
    <xf numFmtId="0" fontId="85" fillId="34" borderId="42" xfId="0" applyFont="1" applyFill="1" applyBorder="1" applyAlignment="1">
      <alignment horizontal="center" vertical="center" textRotation="90"/>
    </xf>
    <xf numFmtId="2" fontId="8" fillId="37" borderId="17" xfId="0" applyNumberFormat="1" applyFont="1" applyFill="1" applyBorder="1" applyAlignment="1">
      <alignment horizontal="center" vertical="center"/>
    </xf>
    <xf numFmtId="1" fontId="85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91" fillId="34" borderId="0" xfId="0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62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 vertical="top"/>
    </xf>
    <xf numFmtId="0" fontId="103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1" fillId="0" borderId="0" xfId="0" applyFont="1" applyBorder="1" applyAlignment="1">
      <alignment horizontal="center" vertical="center"/>
    </xf>
    <xf numFmtId="0" fontId="107" fillId="0" borderId="17" xfId="0" applyFont="1" applyBorder="1" applyAlignment="1">
      <alignment horizontal="left" vertical="center" wrapText="1"/>
    </xf>
    <xf numFmtId="0" fontId="97" fillId="0" borderId="17" xfId="0" applyFont="1" applyBorder="1" applyAlignment="1">
      <alignment horizontal="center" vertical="center"/>
    </xf>
    <xf numFmtId="2" fontId="98" fillId="0" borderId="19" xfId="0" applyNumberFormat="1" applyFont="1" applyBorder="1" applyAlignment="1">
      <alignment horizontal="center" vertical="center"/>
    </xf>
    <xf numFmtId="2" fontId="98" fillId="0" borderId="62" xfId="0" applyNumberFormat="1" applyFont="1" applyBorder="1" applyAlignment="1">
      <alignment horizontal="center" vertical="center"/>
    </xf>
    <xf numFmtId="2" fontId="98" fillId="0" borderId="42" xfId="0" applyNumberFormat="1" applyFont="1" applyBorder="1" applyAlignment="1">
      <alignment horizontal="center" vertical="center"/>
    </xf>
    <xf numFmtId="2" fontId="98" fillId="0" borderId="17" xfId="0" applyNumberFormat="1" applyFont="1" applyBorder="1" applyAlignment="1">
      <alignment horizontal="center" vertical="center"/>
    </xf>
    <xf numFmtId="0" fontId="98" fillId="0" borderId="17" xfId="0" applyFont="1" applyBorder="1" applyAlignment="1">
      <alignment horizontal="center" vertical="center"/>
    </xf>
    <xf numFmtId="2" fontId="97" fillId="0" borderId="17" xfId="0" applyNumberFormat="1" applyFont="1" applyBorder="1" applyAlignment="1">
      <alignment horizontal="center" vertical="center"/>
    </xf>
    <xf numFmtId="2" fontId="97" fillId="0" borderId="17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7" fillId="0" borderId="41" xfId="0" applyFont="1" applyBorder="1" applyAlignment="1">
      <alignment horizontal="left" vertical="center" wrapText="1"/>
    </xf>
    <xf numFmtId="0" fontId="107" fillId="0" borderId="14" xfId="0" applyFont="1" applyBorder="1" applyAlignment="1">
      <alignment horizontal="left" vertical="center" wrapText="1"/>
    </xf>
    <xf numFmtId="0" fontId="107" fillId="0" borderId="16" xfId="0" applyFont="1" applyBorder="1" applyAlignment="1">
      <alignment horizontal="left" vertical="center" wrapText="1"/>
    </xf>
    <xf numFmtId="2" fontId="108" fillId="0" borderId="0" xfId="0" applyNumberFormat="1" applyFont="1" applyAlignment="1">
      <alignment horizontal="center" vertical="center" wrapText="1"/>
    </xf>
    <xf numFmtId="0" fontId="113" fillId="0" borderId="17" xfId="0" applyFont="1" applyBorder="1" applyAlignment="1">
      <alignment horizontal="left" vertical="center" wrapText="1"/>
    </xf>
    <xf numFmtId="0" fontId="96" fillId="0" borderId="17" xfId="0" applyFont="1" applyBorder="1" applyAlignment="1">
      <alignment horizontal="center" vertical="center"/>
    </xf>
    <xf numFmtId="2" fontId="85" fillId="0" borderId="17" xfId="0" applyNumberFormat="1" applyFont="1" applyBorder="1" applyAlignment="1">
      <alignment horizontal="center" vertical="center" wrapText="1"/>
    </xf>
    <xf numFmtId="2" fontId="96" fillId="0" borderId="17" xfId="0" applyNumberFormat="1" applyFont="1" applyBorder="1" applyAlignment="1">
      <alignment horizontal="center" vertical="center"/>
    </xf>
    <xf numFmtId="0" fontId="85" fillId="0" borderId="41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63" xfId="0" applyFont="1" applyBorder="1" applyAlignment="1">
      <alignment horizontal="center"/>
    </xf>
    <xf numFmtId="0" fontId="85" fillId="0" borderId="61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96" fillId="34" borderId="41" xfId="0" applyFont="1" applyFill="1" applyBorder="1" applyAlignment="1">
      <alignment horizontal="center" vertical="center" wrapText="1"/>
    </xf>
    <xf numFmtId="0" fontId="96" fillId="34" borderId="14" xfId="0" applyFont="1" applyFill="1" applyBorder="1" applyAlignment="1">
      <alignment horizontal="center" vertical="center" wrapText="1"/>
    </xf>
    <xf numFmtId="0" fontId="96" fillId="34" borderId="16" xfId="0" applyFont="1" applyFill="1" applyBorder="1" applyAlignment="1">
      <alignment horizontal="center" vertical="center" wrapText="1"/>
    </xf>
    <xf numFmtId="0" fontId="85" fillId="0" borderId="41" xfId="0" applyFont="1" applyBorder="1" applyAlignment="1">
      <alignment horizontal="left" vertical="center" wrapText="1"/>
    </xf>
    <xf numFmtId="0" fontId="85" fillId="0" borderId="14" xfId="0" applyFont="1" applyBorder="1" applyAlignment="1">
      <alignment horizontal="left" vertical="center" wrapText="1"/>
    </xf>
    <xf numFmtId="0" fontId="85" fillId="0" borderId="16" xfId="0" applyFont="1" applyBorder="1" applyAlignment="1">
      <alignment horizontal="left" vertical="center" wrapText="1"/>
    </xf>
    <xf numFmtId="0" fontId="85" fillId="0" borderId="17" xfId="0" applyFont="1" applyBorder="1" applyAlignment="1">
      <alignment horizontal="left" wrapText="1"/>
    </xf>
    <xf numFmtId="0" fontId="96" fillId="34" borderId="31" xfId="0" applyFont="1" applyFill="1" applyBorder="1" applyAlignment="1">
      <alignment horizontal="center" vertical="center" wrapText="1"/>
    </xf>
    <xf numFmtId="0" fontId="96" fillId="37" borderId="31" xfId="0" applyFont="1" applyFill="1" applyBorder="1" applyAlignment="1">
      <alignment horizontal="center" vertical="center" wrapText="1"/>
    </xf>
    <xf numFmtId="0" fontId="85" fillId="0" borderId="65" xfId="0" applyFont="1" applyBorder="1" applyAlignment="1">
      <alignment horizontal="left" wrapText="1"/>
    </xf>
    <xf numFmtId="0" fontId="85" fillId="0" borderId="66" xfId="0" applyFont="1" applyBorder="1" applyAlignment="1">
      <alignment horizontal="left" wrapText="1"/>
    </xf>
    <xf numFmtId="0" fontId="85" fillId="0" borderId="67" xfId="0" applyFont="1" applyBorder="1" applyAlignment="1">
      <alignment horizontal="left" wrapText="1"/>
    </xf>
    <xf numFmtId="0" fontId="96" fillId="34" borderId="17" xfId="0" applyFont="1" applyFill="1" applyBorder="1" applyAlignment="1">
      <alignment horizontal="center"/>
    </xf>
    <xf numFmtId="0" fontId="85" fillId="0" borderId="17" xfId="0" applyFont="1" applyBorder="1" applyAlignment="1">
      <alignment horizontal="left"/>
    </xf>
    <xf numFmtId="0" fontId="85" fillId="0" borderId="17" xfId="0" applyFont="1" applyBorder="1" applyAlignment="1">
      <alignment horizontal="right" vertical="center"/>
    </xf>
    <xf numFmtId="14" fontId="85" fillId="0" borderId="17" xfId="0" applyNumberFormat="1" applyFont="1" applyBorder="1" applyAlignment="1">
      <alignment horizontal="left" vertical="center"/>
    </xf>
    <xf numFmtId="1" fontId="96" fillId="0" borderId="17" xfId="0" applyNumberFormat="1" applyFont="1" applyBorder="1" applyAlignment="1">
      <alignment horizontal="right" vertical="center"/>
    </xf>
    <xf numFmtId="0" fontId="85" fillId="0" borderId="17" xfId="0" applyFont="1" applyBorder="1" applyAlignment="1">
      <alignment horizontal="center"/>
    </xf>
    <xf numFmtId="0" fontId="96" fillId="34" borderId="17" xfId="0" applyFont="1" applyFill="1" applyBorder="1" applyAlignment="1">
      <alignment horizontal="right" vertical="center" wrapText="1"/>
    </xf>
    <xf numFmtId="0" fontId="96" fillId="0" borderId="17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right" vertical="center" wrapText="1"/>
    </xf>
    <xf numFmtId="0" fontId="103" fillId="0" borderId="14" xfId="0" applyFont="1" applyBorder="1" applyAlignment="1">
      <alignment horizontal="center" wrapText="1"/>
    </xf>
    <xf numFmtId="0" fontId="96" fillId="38" borderId="17" xfId="0" applyFont="1" applyFill="1" applyBorder="1" applyAlignment="1">
      <alignment horizontal="center" vertical="center" wrapText="1"/>
    </xf>
    <xf numFmtId="0" fontId="85" fillId="0" borderId="42" xfId="0" applyFont="1" applyBorder="1" applyAlignment="1">
      <alignment horizontal="left" wrapText="1"/>
    </xf>
    <xf numFmtId="0" fontId="85" fillId="0" borderId="63" xfId="0" applyFont="1" applyBorder="1" applyAlignment="1">
      <alignment horizontal="center" vertical="center"/>
    </xf>
    <xf numFmtId="0" fontId="85" fillId="0" borderId="61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96" fillId="0" borderId="17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6" fillId="34" borderId="42" xfId="0" applyFont="1" applyFill="1" applyBorder="1" applyAlignment="1">
      <alignment horizontal="center" wrapText="1"/>
    </xf>
    <xf numFmtId="0" fontId="96" fillId="37" borderId="19" xfId="0" applyFont="1" applyFill="1" applyBorder="1" applyAlignment="1">
      <alignment horizontal="right" vertical="center" wrapText="1"/>
    </xf>
    <xf numFmtId="0" fontId="96" fillId="34" borderId="17" xfId="0" applyFont="1" applyFill="1" applyBorder="1" applyAlignment="1">
      <alignment horizontal="center" vertical="center" wrapText="1"/>
    </xf>
    <xf numFmtId="0" fontId="96" fillId="34" borderId="17" xfId="0" applyFont="1" applyFill="1" applyBorder="1" applyAlignment="1">
      <alignment horizontal="center" vertical="center"/>
    </xf>
    <xf numFmtId="0" fontId="95" fillId="0" borderId="41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left" vertical="center" wrapText="1"/>
    </xf>
    <xf numFmtId="0" fontId="85" fillId="0" borderId="66" xfId="0" applyFont="1" applyBorder="1" applyAlignment="1">
      <alignment horizontal="left" vertical="center" wrapText="1"/>
    </xf>
    <xf numFmtId="0" fontId="85" fillId="0" borderId="67" xfId="0" applyFont="1" applyBorder="1" applyAlignment="1">
      <alignment horizontal="left" vertical="center" wrapText="1"/>
    </xf>
    <xf numFmtId="0" fontId="7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/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9"/>
  <dimension ref="A1:F35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20.7109375" style="0" customWidth="1"/>
    <col min="2" max="2" width="26.00390625" style="0" customWidth="1"/>
    <col min="3" max="3" width="11.57421875" style="0" customWidth="1"/>
    <col min="4" max="4" width="45.8515625" style="7" customWidth="1"/>
    <col min="5" max="5" width="38.140625" style="0" customWidth="1"/>
    <col min="6" max="6" width="41.7109375" style="0" bestFit="1" customWidth="1"/>
  </cols>
  <sheetData>
    <row r="1" spans="1:6" ht="48" customHeight="1" thickBot="1">
      <c r="A1" s="270" t="s">
        <v>280</v>
      </c>
      <c r="B1" s="270"/>
      <c r="C1" s="271"/>
      <c r="D1" s="271"/>
      <c r="E1" s="271"/>
      <c r="F1" s="271"/>
    </row>
    <row r="2" spans="1:6" ht="48" customHeight="1" thickBot="1">
      <c r="A2" s="273" t="s">
        <v>282</v>
      </c>
      <c r="B2" s="274"/>
      <c r="C2" s="272" t="s">
        <v>283</v>
      </c>
      <c r="D2" s="272"/>
      <c r="E2" s="272"/>
      <c r="F2" s="272"/>
    </row>
    <row r="3" spans="1:6" ht="48" customHeight="1" thickBot="1">
      <c r="A3" s="275"/>
      <c r="B3" s="276"/>
      <c r="C3" s="272" t="s">
        <v>291</v>
      </c>
      <c r="D3" s="272"/>
      <c r="E3" s="272"/>
      <c r="F3" s="272"/>
    </row>
    <row r="4" spans="1:6" ht="45.75" customHeight="1" thickBot="1">
      <c r="A4" s="255" t="s">
        <v>241</v>
      </c>
      <c r="B4" s="256"/>
      <c r="C4" s="257" t="s">
        <v>173</v>
      </c>
      <c r="D4" s="257"/>
      <c r="E4" s="257" t="s">
        <v>240</v>
      </c>
      <c r="F4" s="277"/>
    </row>
    <row r="5" spans="1:6" ht="15" customHeight="1">
      <c r="A5" s="261" t="s">
        <v>174</v>
      </c>
      <c r="B5" s="262"/>
      <c r="C5" s="161" t="s">
        <v>175</v>
      </c>
      <c r="D5" s="165" t="s">
        <v>200</v>
      </c>
      <c r="E5" s="165" t="s">
        <v>199</v>
      </c>
      <c r="F5" s="158"/>
    </row>
    <row r="6" spans="1:6" ht="15" customHeight="1">
      <c r="A6" s="261"/>
      <c r="B6" s="262"/>
      <c r="C6" s="162" t="s">
        <v>176</v>
      </c>
      <c r="D6" s="166" t="s">
        <v>201</v>
      </c>
      <c r="E6" s="166"/>
      <c r="F6" s="159"/>
    </row>
    <row r="7" spans="1:6" ht="15" customHeight="1">
      <c r="A7" s="261"/>
      <c r="B7" s="262"/>
      <c r="C7" s="162" t="s">
        <v>177</v>
      </c>
      <c r="D7" s="166" t="s">
        <v>202</v>
      </c>
      <c r="E7" s="166" t="s">
        <v>199</v>
      </c>
      <c r="F7" s="159"/>
    </row>
    <row r="8" spans="1:6" ht="15" customHeight="1">
      <c r="A8" s="261"/>
      <c r="B8" s="262"/>
      <c r="C8" s="162" t="s">
        <v>178</v>
      </c>
      <c r="D8" s="166" t="s">
        <v>203</v>
      </c>
      <c r="E8" s="166" t="s">
        <v>204</v>
      </c>
      <c r="F8" s="159"/>
    </row>
    <row r="9" spans="1:6" ht="15" customHeight="1">
      <c r="A9" s="261"/>
      <c r="B9" s="262"/>
      <c r="C9" s="162" t="s">
        <v>179</v>
      </c>
      <c r="D9" s="166" t="s">
        <v>205</v>
      </c>
      <c r="E9" s="166" t="s">
        <v>199</v>
      </c>
      <c r="F9" s="159"/>
    </row>
    <row r="10" spans="1:6" ht="15" customHeight="1">
      <c r="A10" s="261"/>
      <c r="B10" s="262"/>
      <c r="C10" s="162" t="s">
        <v>180</v>
      </c>
      <c r="D10" s="166" t="s">
        <v>206</v>
      </c>
      <c r="E10" s="166"/>
      <c r="F10" s="159"/>
    </row>
    <row r="11" spans="1:6" ht="15" customHeight="1">
      <c r="A11" s="261"/>
      <c r="B11" s="262"/>
      <c r="C11" s="162" t="s">
        <v>181</v>
      </c>
      <c r="D11" s="166" t="s">
        <v>207</v>
      </c>
      <c r="E11" s="166" t="s">
        <v>208</v>
      </c>
      <c r="F11" s="159"/>
    </row>
    <row r="12" spans="1:6" ht="15" customHeight="1" thickBot="1">
      <c r="A12" s="263"/>
      <c r="B12" s="264"/>
      <c r="C12" s="163" t="s">
        <v>182</v>
      </c>
      <c r="D12" s="167" t="s">
        <v>209</v>
      </c>
      <c r="E12" s="167"/>
      <c r="F12" s="160"/>
    </row>
    <row r="13" spans="1:6" ht="30">
      <c r="A13" s="252" t="s">
        <v>211</v>
      </c>
      <c r="B13" s="265" t="s">
        <v>217</v>
      </c>
      <c r="C13" s="168" t="s">
        <v>183</v>
      </c>
      <c r="D13" s="165" t="s">
        <v>210</v>
      </c>
      <c r="E13" s="192" t="s">
        <v>212</v>
      </c>
      <c r="F13" s="158"/>
    </row>
    <row r="14" spans="1:6" ht="30">
      <c r="A14" s="253"/>
      <c r="B14" s="266"/>
      <c r="C14" s="164" t="s">
        <v>184</v>
      </c>
      <c r="D14" s="169" t="s">
        <v>216</v>
      </c>
      <c r="E14" s="191" t="s">
        <v>213</v>
      </c>
      <c r="F14" s="159"/>
    </row>
    <row r="15" spans="1:6" ht="18.75" customHeight="1">
      <c r="A15" s="253"/>
      <c r="B15" s="266"/>
      <c r="C15" s="164" t="s">
        <v>185</v>
      </c>
      <c r="D15" s="166" t="s">
        <v>215</v>
      </c>
      <c r="E15" s="193"/>
      <c r="F15" s="159" t="s">
        <v>286</v>
      </c>
    </row>
    <row r="16" spans="1:6" ht="63">
      <c r="A16" s="253"/>
      <c r="B16" s="266"/>
      <c r="C16" s="164" t="s">
        <v>186</v>
      </c>
      <c r="D16" s="166" t="s">
        <v>214</v>
      </c>
      <c r="E16" s="225" t="s">
        <v>253</v>
      </c>
      <c r="F16" s="159" t="s">
        <v>286</v>
      </c>
    </row>
    <row r="17" spans="1:6" ht="43.5" customHeight="1">
      <c r="A17" s="253"/>
      <c r="B17" s="266"/>
      <c r="C17" s="164" t="s">
        <v>187</v>
      </c>
      <c r="D17" s="213" t="s">
        <v>287</v>
      </c>
      <c r="E17" s="195" t="s">
        <v>288</v>
      </c>
      <c r="F17" s="159" t="s">
        <v>286</v>
      </c>
    </row>
    <row r="18" spans="1:6" ht="60">
      <c r="A18" s="253"/>
      <c r="B18" s="266"/>
      <c r="C18" s="164" t="s">
        <v>188</v>
      </c>
      <c r="D18" s="169" t="s">
        <v>218</v>
      </c>
      <c r="E18" s="195" t="s">
        <v>219</v>
      </c>
      <c r="F18" s="159"/>
    </row>
    <row r="19" spans="1:6" ht="56.25">
      <c r="A19" s="253"/>
      <c r="B19" s="267"/>
      <c r="C19" s="164" t="s">
        <v>189</v>
      </c>
      <c r="D19" s="212" t="s">
        <v>281</v>
      </c>
      <c r="E19" s="194" t="s">
        <v>266</v>
      </c>
      <c r="F19" s="159"/>
    </row>
    <row r="20" spans="1:6" ht="120">
      <c r="A20" s="253"/>
      <c r="B20" s="235" t="s">
        <v>221</v>
      </c>
      <c r="C20" s="182" t="s">
        <v>190</v>
      </c>
      <c r="D20" s="171" t="s">
        <v>252</v>
      </c>
      <c r="E20" s="171" t="s">
        <v>227</v>
      </c>
      <c r="F20" s="172" t="s">
        <v>225</v>
      </c>
    </row>
    <row r="21" spans="1:6" ht="45">
      <c r="A21" s="253"/>
      <c r="B21" s="215" t="s">
        <v>228</v>
      </c>
      <c r="C21" s="182" t="s">
        <v>191</v>
      </c>
      <c r="D21" s="213" t="s">
        <v>254</v>
      </c>
      <c r="E21" s="195" t="s">
        <v>292</v>
      </c>
      <c r="F21" s="159" t="s">
        <v>229</v>
      </c>
    </row>
    <row r="22" spans="1:6" ht="21.75" customHeight="1" thickBot="1">
      <c r="A22" s="254"/>
      <c r="B22" s="175" t="s">
        <v>274</v>
      </c>
      <c r="C22" s="182" t="s">
        <v>192</v>
      </c>
      <c r="D22" s="245" t="s">
        <v>277</v>
      </c>
      <c r="E22" s="246"/>
      <c r="F22" s="247"/>
    </row>
    <row r="23" spans="1:6" ht="60" customHeight="1">
      <c r="A23" s="252" t="s">
        <v>131</v>
      </c>
      <c r="B23" s="184" t="s">
        <v>230</v>
      </c>
      <c r="C23" s="177" t="s">
        <v>193</v>
      </c>
      <c r="D23" s="185" t="s">
        <v>267</v>
      </c>
      <c r="E23" s="196" t="s">
        <v>292</v>
      </c>
      <c r="F23" s="268" t="s">
        <v>233</v>
      </c>
    </row>
    <row r="24" spans="1:6" ht="60">
      <c r="A24" s="253"/>
      <c r="B24" s="176" t="s">
        <v>231</v>
      </c>
      <c r="C24" s="170" t="s">
        <v>194</v>
      </c>
      <c r="D24" s="171" t="s">
        <v>268</v>
      </c>
      <c r="E24" s="197" t="s">
        <v>292</v>
      </c>
      <c r="F24" s="269"/>
    </row>
    <row r="25" spans="1:6" ht="60">
      <c r="A25" s="253"/>
      <c r="B25" s="233" t="s">
        <v>232</v>
      </c>
      <c r="C25" s="170" t="s">
        <v>195</v>
      </c>
      <c r="D25" s="213" t="s">
        <v>269</v>
      </c>
      <c r="E25" s="195" t="s">
        <v>292</v>
      </c>
      <c r="F25" s="269"/>
    </row>
    <row r="26" spans="1:6" ht="21.75" customHeight="1" thickBot="1">
      <c r="A26" s="254"/>
      <c r="B26" s="175" t="s">
        <v>274</v>
      </c>
      <c r="C26" s="182" t="s">
        <v>196</v>
      </c>
      <c r="D26" s="245" t="s">
        <v>277</v>
      </c>
      <c r="E26" s="246"/>
      <c r="F26" s="247"/>
    </row>
    <row r="27" spans="1:6" ht="61.5" customHeight="1">
      <c r="A27" s="252" t="s">
        <v>143</v>
      </c>
      <c r="B27" s="248" t="s">
        <v>59</v>
      </c>
      <c r="C27" s="177" t="s">
        <v>197</v>
      </c>
      <c r="D27" s="178" t="s">
        <v>234</v>
      </c>
      <c r="E27" s="196"/>
      <c r="F27" s="179" t="s">
        <v>239</v>
      </c>
    </row>
    <row r="28" spans="1:6" ht="46.5" customHeight="1">
      <c r="A28" s="253"/>
      <c r="B28" s="249"/>
      <c r="C28" s="170" t="s">
        <v>198</v>
      </c>
      <c r="D28" s="180" t="s">
        <v>235</v>
      </c>
      <c r="E28" s="197" t="s">
        <v>237</v>
      </c>
      <c r="F28" s="181" t="s">
        <v>236</v>
      </c>
    </row>
    <row r="29" spans="1:6" ht="45">
      <c r="A29" s="253"/>
      <c r="B29" s="249"/>
      <c r="C29" s="170" t="s">
        <v>270</v>
      </c>
      <c r="D29" s="213" t="s">
        <v>246</v>
      </c>
      <c r="E29" s="195" t="s">
        <v>238</v>
      </c>
      <c r="F29" s="216" t="s">
        <v>292</v>
      </c>
    </row>
    <row r="30" spans="1:6" ht="21.75" customHeight="1" thickBot="1">
      <c r="A30" s="254"/>
      <c r="B30" s="175" t="s">
        <v>274</v>
      </c>
      <c r="C30" s="182" t="s">
        <v>271</v>
      </c>
      <c r="D30" s="245" t="s">
        <v>277</v>
      </c>
      <c r="E30" s="246"/>
      <c r="F30" s="247"/>
    </row>
    <row r="31" spans="1:6" ht="60">
      <c r="A31" s="250" t="s">
        <v>132</v>
      </c>
      <c r="B31" s="234" t="s">
        <v>244</v>
      </c>
      <c r="C31" s="177" t="s">
        <v>272</v>
      </c>
      <c r="D31" s="213" t="s">
        <v>278</v>
      </c>
      <c r="E31" s="217" t="s">
        <v>238</v>
      </c>
      <c r="F31" s="218" t="s">
        <v>285</v>
      </c>
    </row>
    <row r="32" spans="1:6" ht="36" customHeight="1" thickBot="1">
      <c r="A32" s="251"/>
      <c r="B32" s="175" t="s">
        <v>274</v>
      </c>
      <c r="C32" s="183" t="s">
        <v>273</v>
      </c>
      <c r="D32" s="242" t="s">
        <v>279</v>
      </c>
      <c r="E32" s="243"/>
      <c r="F32" s="244"/>
    </row>
    <row r="33" spans="1:6" ht="60">
      <c r="A33" s="250" t="s">
        <v>242</v>
      </c>
      <c r="B33" s="219" t="s">
        <v>145</v>
      </c>
      <c r="C33" s="214" t="s">
        <v>275</v>
      </c>
      <c r="D33" s="220" t="s">
        <v>247</v>
      </c>
      <c r="E33" s="221" t="s">
        <v>238</v>
      </c>
      <c r="F33" s="222" t="s">
        <v>284</v>
      </c>
    </row>
    <row r="34" spans="1:6" ht="21.75" customHeight="1" thickBot="1">
      <c r="A34" s="251"/>
      <c r="B34" s="175" t="s">
        <v>274</v>
      </c>
      <c r="C34" s="183" t="s">
        <v>276</v>
      </c>
      <c r="D34" s="245" t="s">
        <v>277</v>
      </c>
      <c r="E34" s="246"/>
      <c r="F34" s="247"/>
    </row>
    <row r="35" spans="1:6" ht="53.25" thickBot="1">
      <c r="A35" s="174" t="s">
        <v>243</v>
      </c>
      <c r="B35" s="258" t="s">
        <v>245</v>
      </c>
      <c r="C35" s="259"/>
      <c r="D35" s="259"/>
      <c r="E35" s="259"/>
      <c r="F35" s="260"/>
    </row>
  </sheetData>
  <sheetProtection/>
  <mergeCells count="22">
    <mergeCell ref="A1:F1"/>
    <mergeCell ref="C3:F3"/>
    <mergeCell ref="A2:B3"/>
    <mergeCell ref="C2:F2"/>
    <mergeCell ref="E4:F4"/>
    <mergeCell ref="A23:A26"/>
    <mergeCell ref="D22:F22"/>
    <mergeCell ref="A4:B4"/>
    <mergeCell ref="C4:D4"/>
    <mergeCell ref="B35:F35"/>
    <mergeCell ref="A5:B12"/>
    <mergeCell ref="B13:B19"/>
    <mergeCell ref="F23:F25"/>
    <mergeCell ref="A13:A22"/>
    <mergeCell ref="D26:F26"/>
    <mergeCell ref="D30:F30"/>
    <mergeCell ref="D32:F32"/>
    <mergeCell ref="D34:F34"/>
    <mergeCell ref="B27:B29"/>
    <mergeCell ref="A33:A34"/>
    <mergeCell ref="A31:A32"/>
    <mergeCell ref="A27:A30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"/>
  <dimension ref="A1:K49"/>
  <sheetViews>
    <sheetView zoomScalePageLayoutView="0" workbookViewId="0" topLeftCell="A30">
      <pane ySplit="330" topLeftCell="A19" activePane="bottomLeft" state="split"/>
      <selection pane="topLeft" activeCell="C27" sqref="C1:C16384"/>
      <selection pane="bottomLeft" activeCell="C30" sqref="C30:C33"/>
    </sheetView>
  </sheetViews>
  <sheetFormatPr defaultColWidth="9.140625" defaultRowHeight="15"/>
  <cols>
    <col min="1" max="1" width="19.140625" style="0" customWidth="1"/>
    <col min="2" max="2" width="29.57421875" style="0" customWidth="1"/>
    <col min="3" max="3" width="29.421875" style="18" customWidth="1"/>
  </cols>
  <sheetData>
    <row r="1" spans="2:11" ht="15">
      <c r="B1" s="19" t="s">
        <v>92</v>
      </c>
      <c r="I1" t="s">
        <v>226</v>
      </c>
      <c r="K1" t="s">
        <v>256</v>
      </c>
    </row>
    <row r="2" spans="1:11" ht="15">
      <c r="A2" t="s">
        <v>13</v>
      </c>
      <c r="B2" s="15">
        <v>3</v>
      </c>
      <c r="I2" s="154">
        <v>2</v>
      </c>
      <c r="K2" s="154">
        <v>2</v>
      </c>
    </row>
    <row r="3" spans="1:11" ht="15">
      <c r="A3" t="s">
        <v>43</v>
      </c>
      <c r="B3" s="15" t="b">
        <v>0</v>
      </c>
      <c r="I3" s="154">
        <v>3</v>
      </c>
      <c r="K3" s="154">
        <v>2</v>
      </c>
    </row>
    <row r="4" spans="1:11" ht="15">
      <c r="A4" t="s">
        <v>130</v>
      </c>
      <c r="B4" s="15">
        <f>IF('Plano de Trabalho'!E18&gt;40.49,1,0)</f>
        <v>0</v>
      </c>
      <c r="I4" s="154">
        <v>4</v>
      </c>
      <c r="K4" s="154">
        <v>20</v>
      </c>
    </row>
    <row r="5" spans="1:11" ht="15">
      <c r="A5" t="s">
        <v>129</v>
      </c>
      <c r="B5" s="15">
        <f>IF(Ensino!N40&gt;0,1,0)</f>
        <v>1</v>
      </c>
      <c r="I5" s="154">
        <v>2</v>
      </c>
      <c r="K5" s="154">
        <v>20</v>
      </c>
    </row>
    <row r="6" spans="1:11" ht="15">
      <c r="A6" t="s">
        <v>131</v>
      </c>
      <c r="B6" s="15">
        <f>IF(Pesquisa!L4&gt;0,1,0)</f>
        <v>0</v>
      </c>
      <c r="I6" s="154">
        <v>8</v>
      </c>
      <c r="K6" s="154">
        <v>2</v>
      </c>
    </row>
    <row r="7" spans="1:11" ht="15">
      <c r="A7" t="s">
        <v>143</v>
      </c>
      <c r="B7" s="15">
        <f>IF(Extensão!G4&gt;0,1,0)</f>
        <v>0</v>
      </c>
      <c r="I7" s="154">
        <v>2</v>
      </c>
      <c r="K7" s="154">
        <v>4</v>
      </c>
    </row>
    <row r="8" spans="1:11" ht="15">
      <c r="A8" t="s">
        <v>132</v>
      </c>
      <c r="B8" s="15">
        <f>IF(Gestão!H4&gt;0,1,0)</f>
        <v>0</v>
      </c>
      <c r="I8" s="154">
        <v>8</v>
      </c>
      <c r="K8" s="154"/>
    </row>
    <row r="9" spans="1:11" ht="15">
      <c r="A9" t="s">
        <v>250</v>
      </c>
      <c r="B9" s="15" t="b">
        <v>0</v>
      </c>
      <c r="I9" s="154">
        <v>2</v>
      </c>
      <c r="K9" s="154"/>
    </row>
    <row r="10" spans="2:11" ht="15">
      <c r="B10" s="15"/>
      <c r="K10" s="154"/>
    </row>
    <row r="11" ht="15">
      <c r="B11" s="15"/>
    </row>
    <row r="12" spans="2:3" ht="15">
      <c r="B12" s="19" t="s">
        <v>71</v>
      </c>
      <c r="C12" s="19" t="s">
        <v>93</v>
      </c>
    </row>
    <row r="13" spans="2:3" ht="15">
      <c r="B13" s="20" t="s">
        <v>81</v>
      </c>
      <c r="C13" s="18" t="s">
        <v>81</v>
      </c>
    </row>
    <row r="14" spans="2:3" ht="15">
      <c r="B14" s="20" t="s">
        <v>82</v>
      </c>
      <c r="C14" s="18" t="s">
        <v>81</v>
      </c>
    </row>
    <row r="15" spans="2:3" ht="15">
      <c r="B15" s="20" t="s">
        <v>86</v>
      </c>
      <c r="C15" s="20" t="s">
        <v>86</v>
      </c>
    </row>
    <row r="16" spans="2:3" ht="15">
      <c r="B16" s="20" t="s">
        <v>73</v>
      </c>
      <c r="C16" s="20" t="s">
        <v>73</v>
      </c>
    </row>
    <row r="17" spans="2:3" ht="15">
      <c r="B17" s="20" t="s">
        <v>74</v>
      </c>
      <c r="C17" s="20" t="s">
        <v>74</v>
      </c>
    </row>
    <row r="18" spans="2:3" ht="15">
      <c r="B18" s="20" t="s">
        <v>75</v>
      </c>
      <c r="C18" s="20" t="s">
        <v>75</v>
      </c>
    </row>
    <row r="19" spans="2:3" ht="15">
      <c r="B19" s="20" t="s">
        <v>76</v>
      </c>
      <c r="C19" s="20" t="s">
        <v>76</v>
      </c>
    </row>
    <row r="20" spans="2:3" ht="15">
      <c r="B20" s="20" t="s">
        <v>77</v>
      </c>
      <c r="C20" s="20" t="s">
        <v>77</v>
      </c>
    </row>
    <row r="21" spans="2:3" ht="15">
      <c r="B21" s="20" t="s">
        <v>78</v>
      </c>
      <c r="C21" s="20" t="s">
        <v>78</v>
      </c>
    </row>
    <row r="22" spans="2:3" ht="15">
      <c r="B22" s="20" t="s">
        <v>79</v>
      </c>
      <c r="C22" s="20" t="s">
        <v>79</v>
      </c>
    </row>
    <row r="23" spans="2:3" ht="15">
      <c r="B23" s="20" t="s">
        <v>80</v>
      </c>
      <c r="C23" s="20" t="s">
        <v>80</v>
      </c>
    </row>
    <row r="24" spans="2:3" ht="15">
      <c r="B24" s="20" t="s">
        <v>83</v>
      </c>
      <c r="C24" s="20" t="s">
        <v>81</v>
      </c>
    </row>
    <row r="25" spans="2:3" ht="15">
      <c r="B25" s="20" t="s">
        <v>84</v>
      </c>
      <c r="C25" s="20" t="s">
        <v>84</v>
      </c>
    </row>
    <row r="26" spans="2:3" ht="15">
      <c r="B26" s="20" t="s">
        <v>85</v>
      </c>
      <c r="C26" s="20" t="s">
        <v>85</v>
      </c>
    </row>
    <row r="27" spans="2:3" ht="15">
      <c r="B27" s="20" t="s">
        <v>87</v>
      </c>
      <c r="C27" s="20" t="s">
        <v>87</v>
      </c>
    </row>
    <row r="29" spans="2:3" ht="15">
      <c r="B29" s="19" t="s">
        <v>54</v>
      </c>
      <c r="C29" s="19" t="s">
        <v>121</v>
      </c>
    </row>
    <row r="30" spans="2:3" ht="15">
      <c r="B30" s="20" t="s">
        <v>91</v>
      </c>
      <c r="C30" s="20" t="s">
        <v>122</v>
      </c>
    </row>
    <row r="31" spans="2:3" ht="15">
      <c r="B31" s="20" t="s">
        <v>90</v>
      </c>
      <c r="C31" s="20" t="s">
        <v>123</v>
      </c>
    </row>
    <row r="32" spans="2:3" ht="15">
      <c r="B32" s="20" t="s">
        <v>89</v>
      </c>
      <c r="C32" s="20" t="s">
        <v>124</v>
      </c>
    </row>
    <row r="33" spans="2:3" ht="15">
      <c r="B33" s="20" t="s">
        <v>88</v>
      </c>
      <c r="C33" s="20" t="s">
        <v>125</v>
      </c>
    </row>
    <row r="34" spans="2:3" ht="15">
      <c r="B34" s="20"/>
      <c r="C34" s="20"/>
    </row>
    <row r="36" ht="15">
      <c r="B36" s="19" t="s">
        <v>103</v>
      </c>
    </row>
    <row r="37" ht="15">
      <c r="B37" s="20" t="s">
        <v>104</v>
      </c>
    </row>
    <row r="38" ht="15">
      <c r="B38" s="20" t="s">
        <v>105</v>
      </c>
    </row>
    <row r="39" ht="15">
      <c r="B39" s="20" t="s">
        <v>106</v>
      </c>
    </row>
    <row r="40" ht="15">
      <c r="B40" s="20" t="s">
        <v>107</v>
      </c>
    </row>
    <row r="41" ht="15">
      <c r="B41" s="20" t="s">
        <v>108</v>
      </c>
    </row>
    <row r="42" ht="15">
      <c r="B42" s="20" t="s">
        <v>109</v>
      </c>
    </row>
    <row r="43" ht="15">
      <c r="B43" s="20" t="s">
        <v>110</v>
      </c>
    </row>
    <row r="44" ht="15">
      <c r="B44" s="20" t="s">
        <v>111</v>
      </c>
    </row>
    <row r="45" ht="15">
      <c r="B45" s="20" t="s">
        <v>112</v>
      </c>
    </row>
    <row r="46" ht="15">
      <c r="B46" s="20" t="s">
        <v>113</v>
      </c>
    </row>
    <row r="47" ht="15">
      <c r="B47" s="20" t="s">
        <v>114</v>
      </c>
    </row>
    <row r="48" ht="15">
      <c r="B48" s="20" t="s">
        <v>115</v>
      </c>
    </row>
    <row r="49" ht="15">
      <c r="B49" s="20" t="s">
        <v>116</v>
      </c>
    </row>
  </sheetData>
  <sheetProtection/>
  <dataValidations count="2">
    <dataValidation type="whole" allowBlank="1" showInputMessage="1" showErrorMessage="1" sqref="I2 K2:K10">
      <formula1>0</formula1>
      <formula2>20</formula2>
    </dataValidation>
    <dataValidation type="whole" allowBlank="1" showInputMessage="1" showErrorMessage="1" promptTitle="Indique o valor" prompt="Indique o valor.&#10;&#10;Sem limites referenciais pela RAD." sqref="I3:I9">
      <formula1>0</formula1>
      <formula2>20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O19"/>
  <sheetViews>
    <sheetView zoomScalePageLayoutView="0" workbookViewId="0" topLeftCell="A1">
      <pane ySplit="330" topLeftCell="A7" activePane="bottomLeft" state="split"/>
      <selection pane="topLeft" activeCell="C1" sqref="C1:C16384"/>
      <selection pane="bottomLeft" activeCell="B3" sqref="B3"/>
    </sheetView>
  </sheetViews>
  <sheetFormatPr defaultColWidth="9.140625" defaultRowHeight="15"/>
  <cols>
    <col min="1" max="1" width="39.8515625" style="0" customWidth="1"/>
    <col min="2" max="2" width="60.7109375" style="0" customWidth="1"/>
    <col min="3" max="3" width="15.8515625" style="0" customWidth="1"/>
    <col min="4" max="4" width="12.00390625" style="0" customWidth="1"/>
    <col min="6" max="6" width="10.00390625" style="0" customWidth="1"/>
  </cols>
  <sheetData>
    <row r="1" spans="1:15" ht="21.75" customHeight="1">
      <c r="A1" s="278" t="s">
        <v>144</v>
      </c>
      <c r="B1" s="278"/>
      <c r="C1" s="139"/>
      <c r="D1" s="139"/>
      <c r="E1" s="139"/>
      <c r="F1" s="139"/>
      <c r="G1" s="139"/>
      <c r="H1" s="139"/>
      <c r="I1" s="139"/>
      <c r="J1" s="139"/>
      <c r="K1" s="139"/>
      <c r="L1" s="42"/>
      <c r="M1" s="42"/>
      <c r="N1" s="42"/>
      <c r="O1" s="12"/>
    </row>
    <row r="3" spans="1:3" ht="21" customHeight="1">
      <c r="A3" s="132" t="s">
        <v>103</v>
      </c>
      <c r="B3" s="132"/>
      <c r="C3" s="7"/>
    </row>
    <row r="4" spans="1:3" ht="23.25" customHeight="1">
      <c r="A4" s="128" t="s">
        <v>53</v>
      </c>
      <c r="B4" s="129" t="s">
        <v>264</v>
      </c>
      <c r="C4" s="26"/>
    </row>
    <row r="5" spans="1:6" ht="21.75" customHeight="1">
      <c r="A5" s="128" t="s">
        <v>70</v>
      </c>
      <c r="B5" s="130"/>
      <c r="C5" s="26"/>
      <c r="D5" s="238" t="s">
        <v>107</v>
      </c>
      <c r="E5" s="238" t="s">
        <v>81</v>
      </c>
      <c r="F5" s="238" t="s">
        <v>91</v>
      </c>
    </row>
    <row r="6" spans="1:6" ht="21" customHeight="1">
      <c r="A6" s="128" t="s">
        <v>69</v>
      </c>
      <c r="B6" s="129" t="s">
        <v>265</v>
      </c>
      <c r="C6" s="26"/>
      <c r="D6" s="238" t="s">
        <v>108</v>
      </c>
      <c r="E6" s="238" t="s">
        <v>82</v>
      </c>
      <c r="F6" s="238" t="s">
        <v>90</v>
      </c>
    </row>
    <row r="7" spans="1:6" ht="26.25" customHeight="1">
      <c r="A7" s="128" t="s">
        <v>54</v>
      </c>
      <c r="B7" s="130"/>
      <c r="C7" s="26"/>
      <c r="D7" s="238" t="s">
        <v>109</v>
      </c>
      <c r="E7" s="238" t="s">
        <v>86</v>
      </c>
      <c r="F7" s="238" t="s">
        <v>89</v>
      </c>
    </row>
    <row r="8" spans="1:6" ht="18.75" customHeight="1">
      <c r="A8" s="128" t="s">
        <v>55</v>
      </c>
      <c r="B8" s="129">
        <v>10101010</v>
      </c>
      <c r="C8" s="26"/>
      <c r="D8" s="238" t="s">
        <v>110</v>
      </c>
      <c r="E8" s="238" t="s">
        <v>73</v>
      </c>
      <c r="F8" s="238" t="s">
        <v>88</v>
      </c>
    </row>
    <row r="9" spans="1:6" ht="15">
      <c r="A9" s="131"/>
      <c r="B9" s="131"/>
      <c r="C9" s="7"/>
      <c r="D9" s="238" t="s">
        <v>111</v>
      </c>
      <c r="E9" s="238" t="s">
        <v>74</v>
      </c>
      <c r="F9" s="239"/>
    </row>
    <row r="10" spans="1:6" ht="21" customHeight="1">
      <c r="A10" s="128" t="s">
        <v>13</v>
      </c>
      <c r="B10" s="131"/>
      <c r="C10" s="7"/>
      <c r="D10" s="238" t="s">
        <v>112</v>
      </c>
      <c r="E10" s="238" t="s">
        <v>75</v>
      </c>
      <c r="F10" s="239"/>
    </row>
    <row r="11" spans="1:6" ht="25.5" customHeight="1">
      <c r="A11" s="128" t="s">
        <v>46</v>
      </c>
      <c r="B11" s="131"/>
      <c r="C11" s="7"/>
      <c r="D11" s="238" t="s">
        <v>113</v>
      </c>
      <c r="E11" s="238" t="s">
        <v>76</v>
      </c>
      <c r="F11" s="239"/>
    </row>
    <row r="12" spans="1:6" ht="25.5" customHeight="1">
      <c r="A12" s="187" t="s">
        <v>132</v>
      </c>
      <c r="B12" s="188"/>
      <c r="C12" s="7"/>
      <c r="D12" s="238" t="s">
        <v>114</v>
      </c>
      <c r="E12" s="238" t="s">
        <v>77</v>
      </c>
      <c r="F12" s="239"/>
    </row>
    <row r="13" spans="1:6" ht="15.75">
      <c r="A13" s="36"/>
      <c r="B13" s="36"/>
      <c r="D13" s="238" t="s">
        <v>115</v>
      </c>
      <c r="E13" s="238" t="s">
        <v>78</v>
      </c>
      <c r="F13" s="239"/>
    </row>
    <row r="14" spans="1:7" ht="15" customHeight="1">
      <c r="A14" s="279" t="s">
        <v>170</v>
      </c>
      <c r="B14" s="279"/>
      <c r="C14" s="145"/>
      <c r="D14" s="238" t="s">
        <v>116</v>
      </c>
      <c r="E14" s="238" t="s">
        <v>79</v>
      </c>
      <c r="F14" s="240"/>
      <c r="G14" s="145"/>
    </row>
    <row r="15" spans="1:6" ht="15">
      <c r="A15" s="279"/>
      <c r="B15" s="279"/>
      <c r="D15" s="239"/>
      <c r="E15" s="238" t="s">
        <v>80</v>
      </c>
      <c r="F15" s="239"/>
    </row>
    <row r="16" spans="1:6" ht="15">
      <c r="A16" s="279"/>
      <c r="B16" s="279"/>
      <c r="D16" s="239"/>
      <c r="E16" s="238" t="s">
        <v>83</v>
      </c>
      <c r="F16" s="239"/>
    </row>
    <row r="17" spans="4:6" ht="15">
      <c r="D17" s="239"/>
      <c r="E17" s="238" t="s">
        <v>84</v>
      </c>
      <c r="F17" s="239"/>
    </row>
    <row r="18" spans="4:6" ht="15">
      <c r="D18" s="239"/>
      <c r="E18" s="238" t="s">
        <v>85</v>
      </c>
      <c r="F18" s="239"/>
    </row>
    <row r="19" spans="4:6" ht="15">
      <c r="D19" s="239"/>
      <c r="E19" s="238" t="s">
        <v>87</v>
      </c>
      <c r="F19" s="239"/>
    </row>
  </sheetData>
  <sheetProtection/>
  <mergeCells count="2">
    <mergeCell ref="A1:B1"/>
    <mergeCell ref="A14:B16"/>
  </mergeCells>
  <dataValidations count="6">
    <dataValidation type="textLength" allowBlank="1" showInputMessage="1" showErrorMessage="1" sqref="B4:C4">
      <formula1>4</formula1>
      <formula2>200</formula2>
    </dataValidation>
    <dataValidation type="textLength" allowBlank="1" showInputMessage="1" showErrorMessage="1" sqref="B6:C6">
      <formula1>3</formula1>
      <formula2>200</formula2>
    </dataValidation>
    <dataValidation type="whole" allowBlank="1" showInputMessage="1" showErrorMessage="1" sqref="B8:C8">
      <formula1>1</formula1>
      <formula2>99999999</formula2>
    </dataValidation>
    <dataValidation type="list" allowBlank="1" showInputMessage="1" showErrorMessage="1" sqref="B5">
      <formula1>$E$5:$E$19</formula1>
    </dataValidation>
    <dataValidation type="list" allowBlank="1" showInputMessage="1" showErrorMessage="1" sqref="B7">
      <formula1>$F$5:$F$8</formula1>
    </dataValidation>
    <dataValidation type="list" allowBlank="1" showInputMessage="1" showErrorMessage="1" sqref="B3">
      <formula1>$D$5:$D$14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T51"/>
  <sheetViews>
    <sheetView tabSelected="1" zoomScaleSheetLayoutView="130" zoomScalePageLayoutView="0" workbookViewId="0" topLeftCell="B1">
      <pane ySplit="1" topLeftCell="A2" activePane="bottomLeft" state="frozen"/>
      <selection pane="topLeft" activeCell="B1" sqref="B1"/>
      <selection pane="bottomLeft" activeCell="A27" sqref="A27:IV27"/>
    </sheetView>
  </sheetViews>
  <sheetFormatPr defaultColWidth="9.140625" defaultRowHeight="15"/>
  <cols>
    <col min="1" max="1" width="4.00390625" style="0" hidden="1" customWidth="1"/>
    <col min="2" max="2" width="4.00390625" style="0" customWidth="1"/>
    <col min="3" max="3" width="40.57421875" style="0" customWidth="1"/>
    <col min="4" max="4" width="17.57421875" style="0" customWidth="1"/>
    <col min="5" max="5" width="5.8515625" style="2" customWidth="1"/>
    <col min="6" max="6" width="6.421875" style="1" customWidth="1"/>
    <col min="7" max="7" width="13.7109375" style="0" customWidth="1"/>
    <col min="8" max="8" width="12.28125" style="0" customWidth="1"/>
    <col min="9" max="9" width="14.140625" style="1" customWidth="1"/>
    <col min="10" max="10" width="12.8515625" style="0" customWidth="1"/>
    <col min="11" max="11" width="13.57421875" style="5" customWidth="1"/>
    <col min="12" max="12" width="11.7109375" style="5" bestFit="1" customWidth="1"/>
    <col min="13" max="13" width="11.7109375" style="0" bestFit="1" customWidth="1"/>
    <col min="14" max="14" width="14.140625" style="0" customWidth="1"/>
    <col min="15" max="15" width="9.00390625" style="0" customWidth="1"/>
    <col min="16" max="16" width="12.28125" style="0" customWidth="1"/>
    <col min="17" max="17" width="22.00390625" style="0" bestFit="1" customWidth="1"/>
    <col min="18" max="18" width="14.8515625" style="0" bestFit="1" customWidth="1"/>
    <col min="19" max="19" width="11.8515625" style="0" customWidth="1"/>
    <col min="22" max="22" width="12.8515625" style="0" customWidth="1"/>
  </cols>
  <sheetData>
    <row r="1" spans="2:15" s="29" customFormat="1" ht="21.75" customHeight="1">
      <c r="B1" s="38"/>
      <c r="C1" s="37" t="s">
        <v>137</v>
      </c>
      <c r="D1" s="189">
        <f>'Plano de Trabalho'!E18</f>
        <v>1.5</v>
      </c>
      <c r="E1" s="39"/>
      <c r="F1" s="39"/>
      <c r="G1" s="38"/>
      <c r="H1" s="38"/>
      <c r="I1" s="39"/>
      <c r="J1" s="38"/>
      <c r="K1" s="40"/>
      <c r="L1" s="41"/>
      <c r="M1" s="41"/>
      <c r="N1" s="41"/>
      <c r="O1" s="30"/>
    </row>
    <row r="2" spans="2:15" ht="21.75" customHeight="1">
      <c r="B2" s="278" t="s">
        <v>31</v>
      </c>
      <c r="C2" s="278"/>
      <c r="D2" s="278"/>
      <c r="E2" s="278"/>
      <c r="F2" s="278"/>
      <c r="G2" s="278"/>
      <c r="H2" s="278"/>
      <c r="I2" s="278"/>
      <c r="J2" s="278"/>
      <c r="K2" s="278"/>
      <c r="L2" s="42"/>
      <c r="M2" s="42"/>
      <c r="N2" s="42"/>
      <c r="O2" s="12"/>
    </row>
    <row r="3" spans="2:15" ht="18.75" customHeight="1">
      <c r="B3" s="319" t="s">
        <v>127</v>
      </c>
      <c r="C3" s="319"/>
      <c r="D3" s="319"/>
      <c r="E3" s="319"/>
      <c r="F3" s="319"/>
      <c r="G3" s="319"/>
      <c r="H3" s="319"/>
      <c r="I3" s="319"/>
      <c r="J3" s="319"/>
      <c r="K3" s="319"/>
      <c r="L3" s="42"/>
      <c r="M3" s="42"/>
      <c r="N3" s="42"/>
      <c r="O3" s="12"/>
    </row>
    <row r="4" spans="2:15" ht="30" customHeight="1">
      <c r="B4" s="314" t="s">
        <v>14</v>
      </c>
      <c r="C4" s="314"/>
      <c r="D4" s="54" t="s">
        <v>24</v>
      </c>
      <c r="E4" s="55"/>
      <c r="F4" s="56">
        <v>0</v>
      </c>
      <c r="G4" s="315"/>
      <c r="H4" s="315"/>
      <c r="I4" s="43"/>
      <c r="J4" s="43"/>
      <c r="K4" s="43"/>
      <c r="L4" s="42"/>
      <c r="M4" s="42"/>
      <c r="N4" s="42"/>
      <c r="O4" s="12"/>
    </row>
    <row r="5" spans="2:15" s="141" customFormat="1" ht="12" customHeight="1">
      <c r="B5" s="320" t="s">
        <v>150</v>
      </c>
      <c r="C5" s="320"/>
      <c r="D5" s="320"/>
      <c r="E5" s="320"/>
      <c r="F5" s="320"/>
      <c r="G5" s="320"/>
      <c r="H5" s="320"/>
      <c r="I5" s="143"/>
      <c r="J5" s="143"/>
      <c r="K5" s="143"/>
      <c r="L5" s="142"/>
      <c r="M5" s="142"/>
      <c r="N5" s="142"/>
      <c r="O5" s="144"/>
    </row>
    <row r="6" spans="1:15" s="27" customFormat="1" ht="42" hidden="1">
      <c r="A6" s="27">
        <v>0</v>
      </c>
      <c r="B6" s="57"/>
      <c r="C6" s="59" t="s">
        <v>126</v>
      </c>
      <c r="D6" s="146" t="s">
        <v>172</v>
      </c>
      <c r="E6" s="290" t="s">
        <v>136</v>
      </c>
      <c r="F6" s="290"/>
      <c r="G6" s="290"/>
      <c r="H6" s="58" t="s">
        <v>8</v>
      </c>
      <c r="I6" s="58" t="s">
        <v>134</v>
      </c>
      <c r="J6" s="58" t="s">
        <v>135</v>
      </c>
      <c r="K6" s="61" t="s">
        <v>133</v>
      </c>
      <c r="L6" s="44"/>
      <c r="M6" s="44"/>
      <c r="N6" s="44"/>
      <c r="O6" s="12"/>
    </row>
    <row r="7" spans="1:18" ht="30" customHeight="1" hidden="1">
      <c r="A7" s="33">
        <v>0</v>
      </c>
      <c r="B7" s="65">
        <v>1</v>
      </c>
      <c r="C7" s="241" t="s">
        <v>138</v>
      </c>
      <c r="D7" s="147"/>
      <c r="E7" s="281" t="s">
        <v>139</v>
      </c>
      <c r="F7" s="281"/>
      <c r="G7" s="281"/>
      <c r="H7" s="68">
        <v>0</v>
      </c>
      <c r="I7" s="68">
        <v>0</v>
      </c>
      <c r="J7" s="68">
        <v>0</v>
      </c>
      <c r="K7" s="74">
        <f>(IF(AND(H7&gt;0,I7&gt;0,J7&gt;0),(H7*I7*J7*0.75)/20,0))</f>
        <v>0</v>
      </c>
      <c r="L7" s="46"/>
      <c r="M7" s="46"/>
      <c r="N7" s="47"/>
      <c r="O7" s="12"/>
      <c r="Q7" s="3"/>
      <c r="R7" s="3"/>
    </row>
    <row r="8" spans="1:15" ht="30" customHeight="1" hidden="1">
      <c r="A8" s="33">
        <v>0</v>
      </c>
      <c r="B8" s="64">
        <v>2</v>
      </c>
      <c r="C8" s="241" t="s">
        <v>138</v>
      </c>
      <c r="D8" s="147"/>
      <c r="E8" s="281" t="s">
        <v>139</v>
      </c>
      <c r="F8" s="281"/>
      <c r="G8" s="281"/>
      <c r="H8" s="68">
        <v>0</v>
      </c>
      <c r="I8" s="68">
        <v>0</v>
      </c>
      <c r="J8" s="68">
        <v>0</v>
      </c>
      <c r="K8" s="75">
        <f>(IF(AND(H8&gt;0,I8&gt;0,J8&gt;0),(H8*I8*J8*0.75)/20,0))</f>
        <v>0</v>
      </c>
      <c r="L8" s="46"/>
      <c r="M8" s="46"/>
      <c r="N8" s="47"/>
      <c r="O8" s="12"/>
    </row>
    <row r="9" spans="1:15" ht="30" customHeight="1" hidden="1">
      <c r="A9" s="33">
        <v>0</v>
      </c>
      <c r="B9" s="45">
        <v>3</v>
      </c>
      <c r="C9" s="241" t="s">
        <v>138</v>
      </c>
      <c r="D9" s="147"/>
      <c r="E9" s="281" t="s">
        <v>139</v>
      </c>
      <c r="F9" s="281"/>
      <c r="G9" s="281"/>
      <c r="H9" s="68">
        <v>0</v>
      </c>
      <c r="I9" s="68">
        <v>0</v>
      </c>
      <c r="J9" s="68">
        <v>0</v>
      </c>
      <c r="K9" s="77">
        <f>(IF(AND(H9&gt;0,I9&gt;0,J9&gt;0),(H9*I9*J9*0.75)/20,0))</f>
        <v>0</v>
      </c>
      <c r="L9" s="46"/>
      <c r="M9" s="46"/>
      <c r="N9" s="47"/>
      <c r="O9" s="12"/>
    </row>
    <row r="10" spans="1:15" ht="30" customHeight="1" hidden="1">
      <c r="A10" s="33">
        <v>0</v>
      </c>
      <c r="B10" s="45">
        <v>4</v>
      </c>
      <c r="C10" s="241" t="s">
        <v>138</v>
      </c>
      <c r="D10" s="147"/>
      <c r="E10" s="281" t="s">
        <v>139</v>
      </c>
      <c r="F10" s="281"/>
      <c r="G10" s="281"/>
      <c r="H10" s="68">
        <v>0</v>
      </c>
      <c r="I10" s="68">
        <v>0</v>
      </c>
      <c r="J10" s="68">
        <v>0</v>
      </c>
      <c r="K10" s="77">
        <f>(IF(AND(H10&gt;0,I10&gt;0,J10&gt;0),(H10*I10*J10*0.75)/20,0))</f>
        <v>0</v>
      </c>
      <c r="L10" s="46"/>
      <c r="M10" s="46"/>
      <c r="N10" s="47"/>
      <c r="O10" s="12"/>
    </row>
    <row r="11" spans="1:15" ht="30" customHeight="1" hidden="1">
      <c r="A11" s="33">
        <v>0</v>
      </c>
      <c r="B11" s="45">
        <v>5</v>
      </c>
      <c r="C11" s="241" t="s">
        <v>138</v>
      </c>
      <c r="D11" s="147"/>
      <c r="E11" s="281" t="s">
        <v>139</v>
      </c>
      <c r="F11" s="281"/>
      <c r="G11" s="281"/>
      <c r="H11" s="68">
        <v>0</v>
      </c>
      <c r="I11" s="68">
        <v>0</v>
      </c>
      <c r="J11" s="68">
        <v>0</v>
      </c>
      <c r="K11" s="77">
        <f>(IF(AND(H11&gt;0,I11&gt;0,J11&gt;0),(H11*I11*J11*0.75)/20,0))</f>
        <v>0</v>
      </c>
      <c r="L11" s="46"/>
      <c r="M11" s="46"/>
      <c r="N11" s="47"/>
      <c r="O11" s="12"/>
    </row>
    <row r="12" spans="1:15" ht="30" customHeight="1" hidden="1">
      <c r="A12" s="33">
        <v>0</v>
      </c>
      <c r="B12" s="45">
        <v>6</v>
      </c>
      <c r="C12" s="241" t="s">
        <v>138</v>
      </c>
      <c r="D12" s="147"/>
      <c r="E12" s="281" t="s">
        <v>139</v>
      </c>
      <c r="F12" s="281"/>
      <c r="G12" s="281"/>
      <c r="H12" s="68">
        <v>0</v>
      </c>
      <c r="I12" s="68">
        <v>0</v>
      </c>
      <c r="J12" s="68">
        <v>0</v>
      </c>
      <c r="K12" s="77">
        <f aca="true" t="shared" si="0" ref="K12:K27">(IF(AND(H12&gt;0,I12&gt;0,J12&gt;0),(H12*I12*J12*0.75)/20,0))</f>
        <v>0</v>
      </c>
      <c r="L12" s="46"/>
      <c r="M12" s="46"/>
      <c r="N12" s="47"/>
      <c r="O12" s="12"/>
    </row>
    <row r="13" spans="1:15" ht="30" customHeight="1" hidden="1">
      <c r="A13" s="33">
        <v>0</v>
      </c>
      <c r="B13" s="45">
        <v>7</v>
      </c>
      <c r="C13" s="241" t="s">
        <v>138</v>
      </c>
      <c r="D13" s="147"/>
      <c r="E13" s="281" t="s">
        <v>139</v>
      </c>
      <c r="F13" s="281"/>
      <c r="G13" s="281"/>
      <c r="H13" s="68">
        <v>0</v>
      </c>
      <c r="I13" s="68">
        <v>0</v>
      </c>
      <c r="J13" s="68">
        <v>0</v>
      </c>
      <c r="K13" s="77">
        <f t="shared" si="0"/>
        <v>0</v>
      </c>
      <c r="L13" s="46"/>
      <c r="M13" s="46"/>
      <c r="N13" s="47"/>
      <c r="O13" s="12"/>
    </row>
    <row r="14" spans="1:15" ht="30" customHeight="1" hidden="1">
      <c r="A14" s="33">
        <v>0</v>
      </c>
      <c r="B14" s="45">
        <v>8</v>
      </c>
      <c r="C14" s="241" t="s">
        <v>138</v>
      </c>
      <c r="D14" s="147"/>
      <c r="E14" s="281" t="s">
        <v>139</v>
      </c>
      <c r="F14" s="281"/>
      <c r="G14" s="281"/>
      <c r="H14" s="68">
        <v>0</v>
      </c>
      <c r="I14" s="68">
        <v>0</v>
      </c>
      <c r="J14" s="68">
        <v>0</v>
      </c>
      <c r="K14" s="77">
        <f t="shared" si="0"/>
        <v>0</v>
      </c>
      <c r="L14" s="46"/>
      <c r="M14" s="46"/>
      <c r="N14" s="47"/>
      <c r="O14" s="12"/>
    </row>
    <row r="15" spans="1:15" ht="30" customHeight="1" hidden="1">
      <c r="A15" s="33">
        <v>0</v>
      </c>
      <c r="B15" s="45">
        <v>9</v>
      </c>
      <c r="C15" s="241" t="s">
        <v>138</v>
      </c>
      <c r="D15" s="147"/>
      <c r="E15" s="281" t="s">
        <v>139</v>
      </c>
      <c r="F15" s="281"/>
      <c r="G15" s="281"/>
      <c r="H15" s="68">
        <v>0</v>
      </c>
      <c r="I15" s="68">
        <v>0</v>
      </c>
      <c r="J15" s="68">
        <v>0</v>
      </c>
      <c r="K15" s="77">
        <f t="shared" si="0"/>
        <v>0</v>
      </c>
      <c r="L15" s="46"/>
      <c r="M15" s="46"/>
      <c r="N15" s="47"/>
      <c r="O15" s="12"/>
    </row>
    <row r="16" spans="1:15" ht="30" customHeight="1" hidden="1">
      <c r="A16" s="33">
        <v>0</v>
      </c>
      <c r="B16" s="45">
        <v>10</v>
      </c>
      <c r="C16" s="241" t="s">
        <v>138</v>
      </c>
      <c r="D16" s="147"/>
      <c r="E16" s="281" t="s">
        <v>139</v>
      </c>
      <c r="F16" s="281"/>
      <c r="G16" s="281"/>
      <c r="H16" s="68">
        <v>0</v>
      </c>
      <c r="I16" s="68">
        <v>0</v>
      </c>
      <c r="J16" s="68">
        <v>0</v>
      </c>
      <c r="K16" s="77">
        <f t="shared" si="0"/>
        <v>0</v>
      </c>
      <c r="L16" s="46"/>
      <c r="M16" s="46"/>
      <c r="N16" s="47"/>
      <c r="O16" s="12"/>
    </row>
    <row r="17" spans="1:15" ht="30" customHeight="1" hidden="1">
      <c r="A17" s="33">
        <v>0</v>
      </c>
      <c r="B17" s="45">
        <v>11</v>
      </c>
      <c r="C17" s="241" t="s">
        <v>138</v>
      </c>
      <c r="D17" s="147"/>
      <c r="E17" s="281" t="s">
        <v>139</v>
      </c>
      <c r="F17" s="281"/>
      <c r="G17" s="281"/>
      <c r="H17" s="68">
        <v>0</v>
      </c>
      <c r="I17" s="68">
        <v>0</v>
      </c>
      <c r="J17" s="68">
        <v>0</v>
      </c>
      <c r="K17" s="77">
        <f t="shared" si="0"/>
        <v>0</v>
      </c>
      <c r="L17" s="46"/>
      <c r="M17" s="46"/>
      <c r="N17" s="47"/>
      <c r="O17" s="12"/>
    </row>
    <row r="18" spans="1:15" ht="30" customHeight="1" hidden="1">
      <c r="A18" s="33">
        <v>0</v>
      </c>
      <c r="B18" s="45">
        <v>12</v>
      </c>
      <c r="C18" s="241" t="s">
        <v>138</v>
      </c>
      <c r="D18" s="147"/>
      <c r="E18" s="281" t="s">
        <v>139</v>
      </c>
      <c r="F18" s="281"/>
      <c r="G18" s="281"/>
      <c r="H18" s="68">
        <v>0</v>
      </c>
      <c r="I18" s="68">
        <v>0</v>
      </c>
      <c r="J18" s="68">
        <v>0</v>
      </c>
      <c r="K18" s="77">
        <f t="shared" si="0"/>
        <v>0</v>
      </c>
      <c r="L18" s="46"/>
      <c r="M18" s="46"/>
      <c r="N18" s="47"/>
      <c r="O18" s="12"/>
    </row>
    <row r="19" spans="1:15" ht="30" customHeight="1" hidden="1">
      <c r="A19" s="33">
        <v>0</v>
      </c>
      <c r="B19" s="45">
        <v>13</v>
      </c>
      <c r="C19" s="241" t="s">
        <v>138</v>
      </c>
      <c r="D19" s="147"/>
      <c r="E19" s="281" t="s">
        <v>139</v>
      </c>
      <c r="F19" s="281"/>
      <c r="G19" s="281"/>
      <c r="H19" s="68">
        <v>0</v>
      </c>
      <c r="I19" s="68">
        <v>0</v>
      </c>
      <c r="J19" s="68">
        <v>0</v>
      </c>
      <c r="K19" s="77">
        <f t="shared" si="0"/>
        <v>0</v>
      </c>
      <c r="L19" s="46"/>
      <c r="M19" s="46"/>
      <c r="N19" s="47"/>
      <c r="O19" s="12"/>
    </row>
    <row r="20" spans="1:15" ht="30" customHeight="1" hidden="1">
      <c r="A20" s="33">
        <v>0</v>
      </c>
      <c r="B20" s="45">
        <v>14</v>
      </c>
      <c r="C20" s="241" t="s">
        <v>138</v>
      </c>
      <c r="D20" s="147"/>
      <c r="E20" s="281" t="s">
        <v>139</v>
      </c>
      <c r="F20" s="281"/>
      <c r="G20" s="281"/>
      <c r="H20" s="68">
        <v>0</v>
      </c>
      <c r="I20" s="68">
        <v>0</v>
      </c>
      <c r="J20" s="68">
        <v>0</v>
      </c>
      <c r="K20" s="77">
        <f t="shared" si="0"/>
        <v>0</v>
      </c>
      <c r="L20" s="46"/>
      <c r="M20" s="46"/>
      <c r="N20" s="47"/>
      <c r="O20" s="12"/>
    </row>
    <row r="21" spans="1:15" ht="30" customHeight="1" hidden="1">
      <c r="A21" s="33">
        <v>0</v>
      </c>
      <c r="B21" s="45">
        <v>15</v>
      </c>
      <c r="C21" s="241" t="s">
        <v>138</v>
      </c>
      <c r="D21" s="147"/>
      <c r="E21" s="281" t="s">
        <v>139</v>
      </c>
      <c r="F21" s="281"/>
      <c r="G21" s="281"/>
      <c r="H21" s="68">
        <v>0</v>
      </c>
      <c r="I21" s="68">
        <v>0</v>
      </c>
      <c r="J21" s="68">
        <v>0</v>
      </c>
      <c r="K21" s="77">
        <f t="shared" si="0"/>
        <v>0</v>
      </c>
      <c r="L21" s="46"/>
      <c r="M21" s="46"/>
      <c r="N21" s="47"/>
      <c r="O21" s="12"/>
    </row>
    <row r="22" spans="1:15" ht="30" customHeight="1" hidden="1">
      <c r="A22" s="33">
        <v>0</v>
      </c>
      <c r="B22" s="45">
        <v>16</v>
      </c>
      <c r="C22" s="241" t="s">
        <v>138</v>
      </c>
      <c r="D22" s="147"/>
      <c r="E22" s="281" t="s">
        <v>139</v>
      </c>
      <c r="F22" s="281"/>
      <c r="G22" s="281"/>
      <c r="H22" s="68">
        <v>0</v>
      </c>
      <c r="I22" s="68">
        <v>0</v>
      </c>
      <c r="J22" s="68">
        <v>0</v>
      </c>
      <c r="K22" s="77">
        <f t="shared" si="0"/>
        <v>0</v>
      </c>
      <c r="L22" s="46"/>
      <c r="M22" s="46"/>
      <c r="N22" s="47"/>
      <c r="O22" s="12"/>
    </row>
    <row r="23" spans="1:15" ht="30" customHeight="1" hidden="1">
      <c r="A23" s="33">
        <v>0</v>
      </c>
      <c r="B23" s="45">
        <v>17</v>
      </c>
      <c r="C23" s="241" t="s">
        <v>138</v>
      </c>
      <c r="D23" s="147"/>
      <c r="E23" s="281" t="s">
        <v>139</v>
      </c>
      <c r="F23" s="281"/>
      <c r="G23" s="281"/>
      <c r="H23" s="68">
        <v>0</v>
      </c>
      <c r="I23" s="68">
        <v>0</v>
      </c>
      <c r="J23" s="68">
        <v>0</v>
      </c>
      <c r="K23" s="77">
        <f t="shared" si="0"/>
        <v>0</v>
      </c>
      <c r="L23" s="46"/>
      <c r="M23" s="46"/>
      <c r="N23" s="47"/>
      <c r="O23" s="12"/>
    </row>
    <row r="24" spans="1:15" ht="30" customHeight="1" hidden="1">
      <c r="A24" s="33">
        <v>0</v>
      </c>
      <c r="B24" s="45">
        <v>18</v>
      </c>
      <c r="C24" s="241" t="s">
        <v>138</v>
      </c>
      <c r="D24" s="147"/>
      <c r="E24" s="281" t="s">
        <v>139</v>
      </c>
      <c r="F24" s="281"/>
      <c r="G24" s="281"/>
      <c r="H24" s="68">
        <v>0</v>
      </c>
      <c r="I24" s="68">
        <v>0</v>
      </c>
      <c r="J24" s="68">
        <v>0</v>
      </c>
      <c r="K24" s="77">
        <f t="shared" si="0"/>
        <v>0</v>
      </c>
      <c r="L24" s="46"/>
      <c r="M24" s="46"/>
      <c r="N24" s="47"/>
      <c r="O24" s="12"/>
    </row>
    <row r="25" spans="1:15" ht="30" customHeight="1" hidden="1">
      <c r="A25" s="33">
        <v>0</v>
      </c>
      <c r="B25" s="45">
        <v>19</v>
      </c>
      <c r="C25" s="241" t="s">
        <v>138</v>
      </c>
      <c r="D25" s="147"/>
      <c r="E25" s="281" t="s">
        <v>139</v>
      </c>
      <c r="F25" s="281"/>
      <c r="G25" s="281"/>
      <c r="H25" s="68">
        <v>0</v>
      </c>
      <c r="I25" s="68">
        <v>0</v>
      </c>
      <c r="J25" s="68">
        <v>0</v>
      </c>
      <c r="K25" s="77">
        <f t="shared" si="0"/>
        <v>0</v>
      </c>
      <c r="L25" s="46"/>
      <c r="M25" s="46"/>
      <c r="N25" s="47"/>
      <c r="O25" s="12"/>
    </row>
    <row r="26" spans="1:15" ht="30" customHeight="1" hidden="1">
      <c r="A26" s="33">
        <v>0</v>
      </c>
      <c r="B26" s="45">
        <v>20</v>
      </c>
      <c r="C26" s="241" t="s">
        <v>138</v>
      </c>
      <c r="D26" s="147"/>
      <c r="E26" s="281" t="s">
        <v>139</v>
      </c>
      <c r="F26" s="281"/>
      <c r="G26" s="281"/>
      <c r="H26" s="68">
        <v>0</v>
      </c>
      <c r="I26" s="68">
        <v>0</v>
      </c>
      <c r="J26" s="68">
        <v>0</v>
      </c>
      <c r="K26" s="77">
        <f t="shared" si="0"/>
        <v>0</v>
      </c>
      <c r="L26" s="46"/>
      <c r="M26" s="46"/>
      <c r="N26" s="47"/>
      <c r="O26" s="12"/>
    </row>
    <row r="27" spans="1:15" ht="30" customHeight="1" hidden="1">
      <c r="A27" s="33">
        <v>0</v>
      </c>
      <c r="B27" s="45">
        <v>21</v>
      </c>
      <c r="C27" s="241" t="s">
        <v>138</v>
      </c>
      <c r="D27" s="147"/>
      <c r="E27" s="281" t="s">
        <v>139</v>
      </c>
      <c r="F27" s="281"/>
      <c r="G27" s="281"/>
      <c r="H27" s="68">
        <v>0</v>
      </c>
      <c r="I27" s="68">
        <v>0</v>
      </c>
      <c r="J27" s="68">
        <v>0</v>
      </c>
      <c r="K27" s="77">
        <f t="shared" si="0"/>
        <v>0</v>
      </c>
      <c r="L27" s="46"/>
      <c r="M27" s="46"/>
      <c r="N27" s="47"/>
      <c r="O27" s="12"/>
    </row>
    <row r="28" spans="2:15" s="141" customFormat="1" ht="12" customHeight="1">
      <c r="B28" s="298" t="s">
        <v>151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142"/>
      <c r="N28" s="142"/>
      <c r="O28" s="144"/>
    </row>
    <row r="29" spans="2:18" ht="31.5">
      <c r="B29" s="288" t="s">
        <v>16</v>
      </c>
      <c r="C29" s="80" t="s">
        <v>29</v>
      </c>
      <c r="D29" s="296" t="s">
        <v>128</v>
      </c>
      <c r="E29" s="296"/>
      <c r="F29" s="296"/>
      <c r="G29" s="81" t="s">
        <v>36</v>
      </c>
      <c r="H29" s="81" t="s">
        <v>28</v>
      </c>
      <c r="I29" s="81" t="s">
        <v>27</v>
      </c>
      <c r="J29" s="81" t="s">
        <v>51</v>
      </c>
      <c r="K29" s="81" t="s">
        <v>96</v>
      </c>
      <c r="L29" s="81" t="s">
        <v>15</v>
      </c>
      <c r="M29" s="48"/>
      <c r="N29" s="238" t="s">
        <v>122</v>
      </c>
      <c r="O29" s="6"/>
      <c r="P29" s="4"/>
      <c r="Q29" s="3"/>
      <c r="R29" s="3"/>
    </row>
    <row r="30" spans="2:20" ht="30" customHeight="1">
      <c r="B30" s="288"/>
      <c r="C30" s="91" t="s">
        <v>0</v>
      </c>
      <c r="D30" s="295"/>
      <c r="E30" s="295"/>
      <c r="F30" s="295"/>
      <c r="G30" s="87">
        <v>0</v>
      </c>
      <c r="H30" s="311">
        <f>8</f>
        <v>8</v>
      </c>
      <c r="I30" s="313">
        <f>IF(Controles!B2=1,12,IF(F4&lt;5,18,16))</f>
        <v>18</v>
      </c>
      <c r="J30" s="312">
        <f>M40+Pesquisa!M4+Extensão!H4+Gestão!H4</f>
        <v>0</v>
      </c>
      <c r="K30" s="316">
        <f>IF(J30&lt;10,I30-J30,8)</f>
        <v>18</v>
      </c>
      <c r="L30" s="310">
        <f>IF(SUM(G30:G33)=0,0,SUM(G30:G33))</f>
        <v>0</v>
      </c>
      <c r="M30" s="53"/>
      <c r="N30" s="238" t="s">
        <v>123</v>
      </c>
      <c r="O30" s="4"/>
      <c r="Q30" s="280">
        <f>IF(Controles!B9=TRUE," ",IF(L30=0,"",IF(L30&lt;H30,"Não atende ao mínimo de 8h de aulas, podendo ser complementando com aulas em projetos de ensino ou de extensão, nos termos estabelecidos no RAD, Art. 8 §3 e Art. 11 §1.","")))</f>
      </c>
      <c r="R30" s="280"/>
      <c r="S30" s="3"/>
      <c r="T30" s="3"/>
    </row>
    <row r="31" spans="2:20" ht="30" customHeight="1">
      <c r="B31" s="288"/>
      <c r="C31" s="91" t="s">
        <v>1</v>
      </c>
      <c r="D31" s="295"/>
      <c r="E31" s="295"/>
      <c r="F31" s="295"/>
      <c r="G31" s="198">
        <v>0</v>
      </c>
      <c r="H31" s="311"/>
      <c r="I31" s="313"/>
      <c r="J31" s="313"/>
      <c r="K31" s="317"/>
      <c r="L31" s="310"/>
      <c r="M31" s="60"/>
      <c r="N31" s="238" t="s">
        <v>124</v>
      </c>
      <c r="O31" s="4"/>
      <c r="Q31" s="280"/>
      <c r="R31" s="280"/>
      <c r="S31" s="3"/>
      <c r="T31" s="3"/>
    </row>
    <row r="32" spans="2:20" ht="30" customHeight="1">
      <c r="B32" s="288"/>
      <c r="C32" s="91" t="s">
        <v>2</v>
      </c>
      <c r="D32" s="295"/>
      <c r="E32" s="295"/>
      <c r="F32" s="295"/>
      <c r="G32" s="87">
        <v>0</v>
      </c>
      <c r="H32" s="311"/>
      <c r="I32" s="313"/>
      <c r="J32" s="313"/>
      <c r="K32" s="317"/>
      <c r="L32" s="310"/>
      <c r="M32" s="49"/>
      <c r="N32" s="238" t="s">
        <v>125</v>
      </c>
      <c r="O32" s="4"/>
      <c r="Q32" s="280">
        <f>IF(Controles!B9=TRUE," ",IF(L30&gt;K30,"Excede a carga máxima de aulas, conforme Art. 16.",""))</f>
      </c>
      <c r="R32" s="280"/>
      <c r="S32" s="3"/>
      <c r="T32" s="3"/>
    </row>
    <row r="33" spans="2:18" ht="30" customHeight="1">
      <c r="B33" s="288"/>
      <c r="C33" s="91" t="s">
        <v>3</v>
      </c>
      <c r="D33" s="295"/>
      <c r="E33" s="295"/>
      <c r="F33" s="295"/>
      <c r="G33" s="87">
        <v>0</v>
      </c>
      <c r="H33" s="311"/>
      <c r="I33" s="313"/>
      <c r="J33" s="313"/>
      <c r="K33" s="318"/>
      <c r="L33" s="310"/>
      <c r="M33" s="62"/>
      <c r="N33" s="49"/>
      <c r="O33" s="4"/>
      <c r="Q33" s="280"/>
      <c r="R33" s="280"/>
    </row>
    <row r="34" spans="2:18" ht="12" customHeight="1">
      <c r="B34" s="63"/>
      <c r="C34" s="283" t="s">
        <v>152</v>
      </c>
      <c r="D34" s="283"/>
      <c r="E34" s="283"/>
      <c r="F34" s="283"/>
      <c r="G34" s="283"/>
      <c r="H34" s="283"/>
      <c r="I34" s="283"/>
      <c r="J34" s="283"/>
      <c r="K34" s="50"/>
      <c r="L34" s="51"/>
      <c r="M34" s="52"/>
      <c r="N34" s="51"/>
      <c r="O34" s="4"/>
      <c r="P34" s="4"/>
      <c r="Q34" s="232"/>
      <c r="R34" s="232"/>
    </row>
    <row r="35" spans="2:16" ht="15" customHeight="1">
      <c r="B35" s="291" t="s">
        <v>17</v>
      </c>
      <c r="C35" s="59"/>
      <c r="D35" s="297" t="s">
        <v>9</v>
      </c>
      <c r="E35" s="289" t="s">
        <v>26</v>
      </c>
      <c r="F35" s="297" t="s">
        <v>10</v>
      </c>
      <c r="G35" s="294" t="s">
        <v>224</v>
      </c>
      <c r="H35" s="294" t="s">
        <v>222</v>
      </c>
      <c r="I35" s="287" t="s">
        <v>223</v>
      </c>
      <c r="J35" s="50"/>
      <c r="K35" s="51"/>
      <c r="L35" s="52"/>
      <c r="M35" s="51"/>
      <c r="N35" s="4"/>
      <c r="O35" s="4"/>
      <c r="P35" s="4"/>
    </row>
    <row r="36" spans="2:15" ht="30" customHeight="1">
      <c r="B36" s="292"/>
      <c r="C36" s="70"/>
      <c r="D36" s="294"/>
      <c r="E36" s="290"/>
      <c r="F36" s="294"/>
      <c r="G36" s="294"/>
      <c r="H36" s="294"/>
      <c r="I36" s="287"/>
      <c r="J36" s="51"/>
      <c r="K36" s="52"/>
      <c r="L36" s="35"/>
      <c r="M36" s="35"/>
      <c r="N36" s="4"/>
      <c r="O36" s="4"/>
    </row>
    <row r="37" spans="2:13" ht="30" customHeight="1">
      <c r="B37" s="293"/>
      <c r="C37" s="66" t="s">
        <v>35</v>
      </c>
      <c r="D37" s="66" t="s">
        <v>8</v>
      </c>
      <c r="E37" s="67"/>
      <c r="F37" s="68">
        <v>5</v>
      </c>
      <c r="G37" s="152">
        <f>IF(F37*0.75&lt;4,4,IF(F37*0.75&gt;H37,"ERRO",F37*0.75))</f>
        <v>4</v>
      </c>
      <c r="H37" s="69">
        <f>IF(L30="ERRO","ERRO",IF(F4&lt;5,L30*(0.5+(F4-1)*0.125),L30))</f>
        <v>0</v>
      </c>
      <c r="I37" s="151"/>
      <c r="J37" s="60"/>
      <c r="K37" s="44"/>
      <c r="L37" s="35"/>
      <c r="M37" s="35"/>
    </row>
    <row r="38" spans="2:15" ht="14.25" customHeight="1">
      <c r="B38" s="79"/>
      <c r="C38" s="283" t="s">
        <v>153</v>
      </c>
      <c r="D38" s="283"/>
      <c r="E38" s="283"/>
      <c r="F38" s="283"/>
      <c r="G38" s="283"/>
      <c r="H38" s="283"/>
      <c r="I38" s="283"/>
      <c r="J38" s="283"/>
      <c r="K38" s="62"/>
      <c r="L38" s="62"/>
      <c r="M38" s="65"/>
      <c r="N38" s="73"/>
      <c r="O38" s="73"/>
    </row>
    <row r="39" spans="2:19" ht="30" customHeight="1">
      <c r="B39" s="288" t="s">
        <v>20</v>
      </c>
      <c r="C39" s="80" t="s">
        <v>30</v>
      </c>
      <c r="D39" s="81" t="s">
        <v>9</v>
      </c>
      <c r="E39" s="81" t="s">
        <v>26</v>
      </c>
      <c r="F39" s="81" t="s">
        <v>10</v>
      </c>
      <c r="G39" s="81" t="s">
        <v>23</v>
      </c>
      <c r="H39" s="81" t="s">
        <v>11</v>
      </c>
      <c r="I39" s="81" t="s">
        <v>61</v>
      </c>
      <c r="J39" s="81" t="s">
        <v>19</v>
      </c>
      <c r="K39" s="81" t="s">
        <v>21</v>
      </c>
      <c r="L39" s="81" t="s">
        <v>22</v>
      </c>
      <c r="M39" s="81" t="s">
        <v>19</v>
      </c>
      <c r="N39" s="227" t="s">
        <v>290</v>
      </c>
      <c r="O39" s="92"/>
      <c r="P39" s="92"/>
      <c r="Q39" s="92"/>
      <c r="R39" s="16"/>
      <c r="S39" s="16"/>
    </row>
    <row r="40" spans="2:19" ht="28.5" customHeight="1">
      <c r="B40" s="288"/>
      <c r="C40" s="82" t="s">
        <v>160</v>
      </c>
      <c r="D40" s="83" t="s">
        <v>25</v>
      </c>
      <c r="E40" s="84"/>
      <c r="F40" s="85">
        <v>0</v>
      </c>
      <c r="G40" s="186">
        <f>F40*0.5</f>
        <v>0</v>
      </c>
      <c r="H40" s="150">
        <f>IF(Controles!B2=1,2.5,5)</f>
        <v>5</v>
      </c>
      <c r="I40" s="86">
        <f>G40</f>
        <v>0</v>
      </c>
      <c r="J40" s="148" t="s">
        <v>220</v>
      </c>
      <c r="K40" s="307" t="s">
        <v>18</v>
      </c>
      <c r="L40" s="301">
        <f>IF(Controles!B2=1,7,14)</f>
        <v>14</v>
      </c>
      <c r="M40" s="284">
        <f>J41+J42+J43+J49</f>
        <v>0</v>
      </c>
      <c r="N40" s="304">
        <f>SUM(I40:I50)</f>
        <v>1.5</v>
      </c>
      <c r="O40" s="31"/>
      <c r="P40" s="31"/>
      <c r="Q40" s="280">
        <f>IF(I40&gt;H40,"excede limite referencial para orientação e supervisão de estágio curricular não obrigatório","")</f>
      </c>
      <c r="R40" s="280"/>
      <c r="S40" s="16"/>
    </row>
    <row r="41" spans="2:19" ht="28.5" customHeight="1">
      <c r="B41" s="288"/>
      <c r="C41" s="82" t="s">
        <v>161</v>
      </c>
      <c r="D41" s="83" t="s">
        <v>25</v>
      </c>
      <c r="E41" s="84"/>
      <c r="F41" s="85">
        <v>0</v>
      </c>
      <c r="G41" s="82">
        <f>F41*0.5</f>
        <v>0</v>
      </c>
      <c r="H41" s="76">
        <f>IF(Controles!B2=1,2.5,5)</f>
        <v>5</v>
      </c>
      <c r="I41" s="229">
        <f aca="true" t="shared" si="1" ref="I41:I50">G41</f>
        <v>0</v>
      </c>
      <c r="J41" s="88">
        <f>IF(G41&lt;H41,G41*0.45,H41*0.45)</f>
        <v>0</v>
      </c>
      <c r="K41" s="308"/>
      <c r="L41" s="302"/>
      <c r="M41" s="285"/>
      <c r="N41" s="305"/>
      <c r="O41" s="31"/>
      <c r="P41" s="31"/>
      <c r="Q41" s="280">
        <f>IF(I41&gt;H41,"excede limite referencial para orientação e supervisão de estágio curricular obrigatório","")</f>
      </c>
      <c r="R41" s="280"/>
      <c r="S41" s="16"/>
    </row>
    <row r="42" spans="2:19" ht="28.5" customHeight="1">
      <c r="B42" s="288"/>
      <c r="C42" s="82" t="s">
        <v>162</v>
      </c>
      <c r="D42" s="83" t="s">
        <v>25</v>
      </c>
      <c r="E42" s="84"/>
      <c r="F42" s="85">
        <v>0</v>
      </c>
      <c r="G42" s="82">
        <f>F42*0.5</f>
        <v>0</v>
      </c>
      <c r="H42" s="76">
        <f>IF(Controles!B2=1,2.5,5)</f>
        <v>5</v>
      </c>
      <c r="I42" s="229">
        <f t="shared" si="1"/>
        <v>0</v>
      </c>
      <c r="J42" s="88">
        <f>IF(G42&lt;H42,G42*0.45,H42*0.45)</f>
        <v>0</v>
      </c>
      <c r="K42" s="308"/>
      <c r="L42" s="302"/>
      <c r="M42" s="285"/>
      <c r="N42" s="305"/>
      <c r="O42" s="31"/>
      <c r="P42" s="31"/>
      <c r="Q42" s="280">
        <f>IF(I42&gt;H42,"excede limite referencial para orientação e coorientação de TCC de cursos técnicos de nível médio","")</f>
      </c>
      <c r="R42" s="280"/>
      <c r="S42" s="16"/>
    </row>
    <row r="43" spans="2:19" ht="28.5" customHeight="1">
      <c r="B43" s="288"/>
      <c r="C43" s="82" t="s">
        <v>163</v>
      </c>
      <c r="D43" s="83" t="s">
        <v>25</v>
      </c>
      <c r="E43" s="84"/>
      <c r="F43" s="85">
        <v>0</v>
      </c>
      <c r="G43" s="82">
        <f>F43*1</f>
        <v>0</v>
      </c>
      <c r="H43" s="76">
        <f>IF(Controles!B2=1,2,4)</f>
        <v>4</v>
      </c>
      <c r="I43" s="229">
        <f t="shared" si="1"/>
        <v>0</v>
      </c>
      <c r="J43" s="87">
        <f>IF(G43&lt;H43,G43*0.45,H43*0.45)</f>
        <v>0</v>
      </c>
      <c r="K43" s="308"/>
      <c r="L43" s="302"/>
      <c r="M43" s="285"/>
      <c r="N43" s="305"/>
      <c r="O43" s="31"/>
      <c r="P43" s="31"/>
      <c r="Q43" s="280">
        <f>IF(I43&gt;H43,"excede limite referencial para orientação e coorientação de TCC de curso de graduação","")</f>
      </c>
      <c r="R43" s="280"/>
      <c r="S43" s="16"/>
    </row>
    <row r="44" spans="2:19" ht="28.5" customHeight="1">
      <c r="B44" s="288"/>
      <c r="C44" s="82" t="s">
        <v>32</v>
      </c>
      <c r="D44" s="83" t="s">
        <v>49</v>
      </c>
      <c r="E44" s="84"/>
      <c r="F44" s="85">
        <v>0</v>
      </c>
      <c r="G44" s="82">
        <f>F44</f>
        <v>0</v>
      </c>
      <c r="H44" s="76">
        <f>IF(Controles!B2=1,4,8)</f>
        <v>8</v>
      </c>
      <c r="I44" s="229">
        <f>G44</f>
        <v>0</v>
      </c>
      <c r="J44" s="148" t="s">
        <v>220</v>
      </c>
      <c r="K44" s="308"/>
      <c r="L44" s="302"/>
      <c r="M44" s="285"/>
      <c r="N44" s="305"/>
      <c r="O44" s="31"/>
      <c r="P44" s="31"/>
      <c r="Q44" s="280">
        <f>IF(I44&gt;H44,"excede limite referencial para atendimento presencial ao discente","")</f>
      </c>
      <c r="R44" s="280"/>
      <c r="S44" s="16"/>
    </row>
    <row r="45" spans="2:19" ht="28.5" customHeight="1">
      <c r="B45" s="288"/>
      <c r="C45" s="82" t="s">
        <v>5</v>
      </c>
      <c r="D45" s="83" t="s">
        <v>25</v>
      </c>
      <c r="E45" s="84"/>
      <c r="F45" s="85">
        <v>0</v>
      </c>
      <c r="G45" s="82">
        <f>F45*0.25</f>
        <v>0</v>
      </c>
      <c r="H45" s="76">
        <f>IF(Controles!B2=1,0.5,1)</f>
        <v>1</v>
      </c>
      <c r="I45" s="229">
        <f t="shared" si="1"/>
        <v>0</v>
      </c>
      <c r="J45" s="148" t="s">
        <v>220</v>
      </c>
      <c r="K45" s="308"/>
      <c r="L45" s="302"/>
      <c r="M45" s="285"/>
      <c r="N45" s="305"/>
      <c r="O45" s="31"/>
      <c r="P45" s="31"/>
      <c r="Q45" s="280">
        <f>IF(I45&gt;H45,"excede limite referencial para tutoria","")</f>
      </c>
      <c r="R45" s="280"/>
      <c r="S45" s="16"/>
    </row>
    <row r="46" spans="1:19" ht="28.5" customHeight="1">
      <c r="A46" t="str">
        <f>CONCATENATE(Ensino!C7," ( ",Ensino!D7," /",Ensino!E7,") - Aulas Semanais: ")</f>
        <v>Nome do componente curricular (  /Nome do curso) - Aulas Semanais: </v>
      </c>
      <c r="B46" s="288"/>
      <c r="C46" s="82" t="s">
        <v>6</v>
      </c>
      <c r="D46" s="83" t="s">
        <v>25</v>
      </c>
      <c r="E46" s="84"/>
      <c r="F46" s="85">
        <v>0</v>
      </c>
      <c r="G46" s="82">
        <f>F46*0.5</f>
        <v>0</v>
      </c>
      <c r="H46" s="76">
        <f>IF(Controles!B2=1,1,2)</f>
        <v>2</v>
      </c>
      <c r="I46" s="229">
        <f t="shared" si="1"/>
        <v>0</v>
      </c>
      <c r="J46" s="148" t="s">
        <v>220</v>
      </c>
      <c r="K46" s="308"/>
      <c r="L46" s="302"/>
      <c r="M46" s="285"/>
      <c r="N46" s="305"/>
      <c r="O46" s="31"/>
      <c r="P46" s="31"/>
      <c r="Q46" s="280">
        <f>IF(I46&gt;H46,"excede limite referencial para orientação de monitoria","")</f>
      </c>
      <c r="R46" s="280"/>
      <c r="S46" s="16"/>
    </row>
    <row r="47" spans="2:19" ht="28.5" customHeight="1">
      <c r="B47" s="288"/>
      <c r="C47" s="82" t="s">
        <v>164</v>
      </c>
      <c r="D47" s="83" t="s">
        <v>25</v>
      </c>
      <c r="E47" s="84"/>
      <c r="F47" s="85">
        <v>0</v>
      </c>
      <c r="G47" s="82">
        <f>F47*0.1</f>
        <v>0</v>
      </c>
      <c r="H47" s="76">
        <f>IF(Controles!B2=1,0.5,1)</f>
        <v>1</v>
      </c>
      <c r="I47" s="229">
        <f t="shared" si="1"/>
        <v>0</v>
      </c>
      <c r="J47" s="148" t="s">
        <v>220</v>
      </c>
      <c r="K47" s="308"/>
      <c r="L47" s="302"/>
      <c r="M47" s="285"/>
      <c r="N47" s="305"/>
      <c r="O47" s="31"/>
      <c r="P47" s="31"/>
      <c r="Q47" s="280">
        <f>IF(I47&gt;H47,"excede limite referencial para orientação e coorientação de atividades complementares","")</f>
      </c>
      <c r="R47" s="280"/>
      <c r="S47" s="16"/>
    </row>
    <row r="48" spans="2:19" ht="28.5" customHeight="1">
      <c r="B48" s="288"/>
      <c r="C48" s="82" t="s">
        <v>7</v>
      </c>
      <c r="D48" s="83" t="s">
        <v>8</v>
      </c>
      <c r="E48" s="84"/>
      <c r="F48" s="85">
        <v>2</v>
      </c>
      <c r="G48" s="82">
        <f>F48*0.75</f>
        <v>1.5</v>
      </c>
      <c r="H48" s="89" t="s">
        <v>12</v>
      </c>
      <c r="I48" s="229">
        <f t="shared" si="1"/>
        <v>1.5</v>
      </c>
      <c r="J48" s="148" t="s">
        <v>220</v>
      </c>
      <c r="K48" s="308"/>
      <c r="L48" s="302"/>
      <c r="M48" s="285"/>
      <c r="N48" s="305"/>
      <c r="O48" s="31"/>
      <c r="P48" s="31"/>
      <c r="Q48" s="280"/>
      <c r="R48" s="280"/>
      <c r="S48" s="16"/>
    </row>
    <row r="49" spans="2:19" ht="28.5" customHeight="1">
      <c r="B49" s="288"/>
      <c r="C49" s="82" t="s">
        <v>33</v>
      </c>
      <c r="D49" s="83" t="s">
        <v>8</v>
      </c>
      <c r="E49" s="84"/>
      <c r="F49" s="85">
        <v>0</v>
      </c>
      <c r="G49" s="82">
        <f>F49*0.75</f>
        <v>0</v>
      </c>
      <c r="H49" s="76">
        <f>IF(Controles!B2=1,7,14)</f>
        <v>14</v>
      </c>
      <c r="I49" s="229">
        <f t="shared" si="1"/>
        <v>0</v>
      </c>
      <c r="J49" s="87">
        <f>IF(G49&lt;H49,G49*0.45,H49*0.45)</f>
        <v>0</v>
      </c>
      <c r="K49" s="308"/>
      <c r="L49" s="302"/>
      <c r="M49" s="285"/>
      <c r="N49" s="305"/>
      <c r="O49" s="31"/>
      <c r="P49" s="31"/>
      <c r="Q49" s="280">
        <f>IF(I49&gt;H49,"excede limite referencial para projetos de ensino","")</f>
      </c>
      <c r="R49" s="280"/>
      <c r="S49" s="16"/>
    </row>
    <row r="50" spans="2:19" ht="28.5" customHeight="1">
      <c r="B50" s="288"/>
      <c r="C50" s="82" t="s">
        <v>34</v>
      </c>
      <c r="D50" s="83" t="s">
        <v>8</v>
      </c>
      <c r="E50" s="84"/>
      <c r="F50" s="85">
        <v>0</v>
      </c>
      <c r="G50" s="82">
        <f>F50*0.75</f>
        <v>0</v>
      </c>
      <c r="H50" s="76">
        <f>IF(Controles!B2=1,10,20)</f>
        <v>20</v>
      </c>
      <c r="I50" s="229">
        <f t="shared" si="1"/>
        <v>0</v>
      </c>
      <c r="J50" s="148" t="s">
        <v>220</v>
      </c>
      <c r="K50" s="309"/>
      <c r="L50" s="303"/>
      <c r="M50" s="286"/>
      <c r="N50" s="306"/>
      <c r="O50" s="13"/>
      <c r="P50" s="13"/>
      <c r="Q50" s="280">
        <f>IF(I50&gt;H50,"excede limite referencial para atividades em sala de aula com bolsa","")</f>
      </c>
      <c r="R50" s="280"/>
      <c r="S50" s="16"/>
    </row>
    <row r="51" spans="2:18" ht="63.75" customHeight="1">
      <c r="B51" s="288"/>
      <c r="C51" s="226" t="s">
        <v>167</v>
      </c>
      <c r="D51" s="299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16"/>
      <c r="P51" s="16"/>
      <c r="Q51" s="282">
        <f>IF(COUNTBLANK(Q40:Q50)&lt;11,"Excede limites referenciais para outras atividades de ensino, conforme Art. 19, tabela 2.","")</f>
      </c>
      <c r="R51" s="282"/>
    </row>
    <row r="52" ht="21.75" customHeight="1"/>
    <row r="53" ht="21.75" customHeight="1"/>
  </sheetData>
  <sheetProtection/>
  <mergeCells count="65">
    <mergeCell ref="E10:G10"/>
    <mergeCell ref="E11:G11"/>
    <mergeCell ref="E17:G17"/>
    <mergeCell ref="B2:K2"/>
    <mergeCell ref="B3:K3"/>
    <mergeCell ref="E13:G13"/>
    <mergeCell ref="E14:G14"/>
    <mergeCell ref="E15:G15"/>
    <mergeCell ref="B5:H5"/>
    <mergeCell ref="E12:G12"/>
    <mergeCell ref="B29:B33"/>
    <mergeCell ref="J30:J33"/>
    <mergeCell ref="I30:I33"/>
    <mergeCell ref="B4:C4"/>
    <mergeCell ref="G4:H4"/>
    <mergeCell ref="K30:K33"/>
    <mergeCell ref="E20:G20"/>
    <mergeCell ref="E21:G21"/>
    <mergeCell ref="E8:G8"/>
    <mergeCell ref="E9:G9"/>
    <mergeCell ref="D51:N51"/>
    <mergeCell ref="L40:L50"/>
    <mergeCell ref="N40:N50"/>
    <mergeCell ref="K40:K50"/>
    <mergeCell ref="L30:L33"/>
    <mergeCell ref="H30:H33"/>
    <mergeCell ref="B35:B37"/>
    <mergeCell ref="G35:G36"/>
    <mergeCell ref="H35:H36"/>
    <mergeCell ref="E6:G6"/>
    <mergeCell ref="E7:G7"/>
    <mergeCell ref="D30:F33"/>
    <mergeCell ref="D29:F29"/>
    <mergeCell ref="D35:D36"/>
    <mergeCell ref="B28:L28"/>
    <mergeCell ref="E16:G16"/>
    <mergeCell ref="E18:G18"/>
    <mergeCell ref="E19:G19"/>
    <mergeCell ref="Q42:R42"/>
    <mergeCell ref="E22:G22"/>
    <mergeCell ref="I35:I36"/>
    <mergeCell ref="B39:B51"/>
    <mergeCell ref="C38:J38"/>
    <mergeCell ref="E35:E36"/>
    <mergeCell ref="Q44:R44"/>
    <mergeCell ref="Q32:R33"/>
    <mergeCell ref="Q49:R49"/>
    <mergeCell ref="Q40:R40"/>
    <mergeCell ref="E23:G23"/>
    <mergeCell ref="E24:G24"/>
    <mergeCell ref="E25:G25"/>
    <mergeCell ref="E26:G26"/>
    <mergeCell ref="C34:J34"/>
    <mergeCell ref="M40:M50"/>
    <mergeCell ref="F35:F36"/>
    <mergeCell ref="Q41:R41"/>
    <mergeCell ref="Q43:R43"/>
    <mergeCell ref="Q50:R50"/>
    <mergeCell ref="E27:G27"/>
    <mergeCell ref="Q51:R51"/>
    <mergeCell ref="Q30:R31"/>
    <mergeCell ref="Q45:R45"/>
    <mergeCell ref="Q46:R46"/>
    <mergeCell ref="Q47:R47"/>
    <mergeCell ref="Q48:R48"/>
  </mergeCells>
  <conditionalFormatting sqref="N40:N50">
    <cfRule type="cellIs" priority="8" dxfId="17" operator="greaterThan">
      <formula>$L$40</formula>
    </cfRule>
  </conditionalFormatting>
  <conditionalFormatting sqref="I40">
    <cfRule type="cellIs" priority="6" dxfId="17" operator="greaterThan">
      <formula>$H$40</formula>
    </cfRule>
  </conditionalFormatting>
  <conditionalFormatting sqref="L30:L33">
    <cfRule type="cellIs" priority="4" dxfId="17" operator="notBetween">
      <formula>$H$30</formula>
      <formula>$K$30</formula>
    </cfRule>
    <cfRule type="cellIs" priority="5" dxfId="3" operator="between">
      <formula>$H$30</formula>
      <formula>$K$30</formula>
    </cfRule>
  </conditionalFormatting>
  <conditionalFormatting sqref="I41">
    <cfRule type="cellIs" priority="3" dxfId="17" operator="greaterThan">
      <formula>$H41</formula>
    </cfRule>
  </conditionalFormatting>
  <conditionalFormatting sqref="I42">
    <cfRule type="cellIs" priority="2" dxfId="17" operator="greaterThan">
      <formula>$H42</formula>
    </cfRule>
  </conditionalFormatting>
  <conditionalFormatting sqref="I43:I50">
    <cfRule type="cellIs" priority="1" dxfId="17" operator="greaterThan">
      <formula>$H43</formula>
    </cfRule>
  </conditionalFormatting>
  <dataValidations count="15">
    <dataValidation type="whole" allowBlank="1" showInputMessage="1" showErrorMessage="1" sqref="F4">
      <formula1>0</formula1>
      <formula2>21</formula2>
    </dataValidation>
    <dataValidation type="whole" operator="greaterThanOrEqual" allowBlank="1" showInputMessage="1" showErrorMessage="1" promptTitle="Indique o valor" prompt="Entre com o valor solicitado ou use o Botão Lateral" sqref="F48">
      <formula1>2</formula1>
    </dataValidation>
    <dataValidation type="whole" allowBlank="1" showInputMessage="1" showErrorMessage="1" promptTitle="Preparação" prompt="Indique a quantidade de horas-aula de Preparação." sqref="F37">
      <formula1>5</formula1>
      <formula2>30</formula2>
    </dataValidation>
    <dataValidation type="textLength" showInputMessage="1" showErrorMessage="1" sqref="D51:N51">
      <formula1>0</formula1>
      <formula2>500</formula2>
    </dataValidation>
    <dataValidation allowBlank="1" showInputMessage="1" showErrorMessage="1" promptTitle="RAD - Art. 17." prompt="Mínimo 4 (quatro) horas e máximo =horas aulaxfator de correção&#10;&#10;escolher valor entre 4 e limite max calculado na célula ao lado&#10;" sqref="I37"/>
    <dataValidation allowBlank="1" showInputMessage="1" showErrorMessage="1" errorTitle="Rever valor inseridos." error="Valor fora dos parametros da RAD." sqref="I40:I50"/>
    <dataValidation type="whole" showInputMessage="1" showErrorMessage="1" promptTitle="Indique o número de Turmas" prompt="Indique o número de turmas em que o componente está sendo ofertado." sqref="I7:I27">
      <formula1>0</formula1>
      <formula2>20</formula2>
    </dataValidation>
    <dataValidation type="whole" showInputMessage="1" showErrorMessage="1" promptTitle="Quantidade de Aulas Semanais" prompt="Indique o número de Aulas Semanais do Componente." sqref="H7:H27">
      <formula1>0</formula1>
      <formula2>24</formula2>
    </dataValidation>
    <dataValidation showInputMessage="1" showErrorMessage="1" promptTitle="Nome do Curso" prompt="Indique o Curso ao qual o Componente Curricular está vinculado." sqref="E7:G27"/>
    <dataValidation showInputMessage="1" showErrorMessage="1" promptTitle="Digite o Nome do Componente" prompt="Digite o Nome do Componente Curricular" sqref="C7:C27"/>
    <dataValidation type="whole" allowBlank="1" showInputMessage="1" showErrorMessage="1" promptTitle="Indique o valor" prompt="Entre com o valor solicitado ou use o Botão Lateral" sqref="F45:F47 F40:F43 F49">
      <formula1>0</formula1>
      <formula2>20</formula2>
    </dataValidation>
    <dataValidation type="decimal" allowBlank="1" showInputMessage="1" showErrorMessage="1" promptTitle="Indique o valor" prompt="Entre com o valor solicitado ou use o Botão Lateral" sqref="F44">
      <formula1>0</formula1>
      <formula2>20</formula2>
    </dataValidation>
    <dataValidation type="whole" allowBlank="1" showInputMessage="1" showErrorMessage="1" promptTitle="Indique o valor" prompt="Entre com o valor solicitado ou use o Botão Lateral" sqref="F50">
      <formula1>0</formula1>
      <formula2>28</formula2>
    </dataValidation>
    <dataValidation type="whole" showInputMessage="1" showErrorMessage="1" promptTitle="Semanas do Curso" prompt="Indique o número de semanas do Curso." sqref="J7:J27">
      <formula1>0</formula1>
      <formula2>20</formula2>
    </dataValidation>
    <dataValidation type="list" allowBlank="1" showInputMessage="1" showErrorMessage="1" sqref="D7:D27">
      <formula1>$N$29:$N$32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Q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49.140625" style="0" customWidth="1"/>
    <col min="2" max="2" width="13.57421875" style="0" bestFit="1" customWidth="1"/>
    <col min="3" max="3" width="5.8515625" style="2" customWidth="1"/>
    <col min="4" max="4" width="8.7109375" style="2" customWidth="1"/>
    <col min="5" max="5" width="11.140625" style="149" customWidth="1"/>
    <col min="6" max="6" width="8.7109375" style="149" customWidth="1"/>
    <col min="7" max="7" width="11.140625" style="0" bestFit="1" customWidth="1"/>
    <col min="8" max="8" width="9.57421875" style="0" bestFit="1" customWidth="1"/>
    <col min="9" max="9" width="9.57421875" style="2" bestFit="1" customWidth="1"/>
    <col min="10" max="10" width="12.8515625" style="0" customWidth="1"/>
    <col min="11" max="11" width="7.00390625" style="0" customWidth="1"/>
    <col min="12" max="12" width="12.28125" style="0" bestFit="1" customWidth="1"/>
    <col min="13" max="13" width="8.57421875" style="0" bestFit="1" customWidth="1"/>
    <col min="14" max="14" width="10.8515625" style="0" bestFit="1" customWidth="1"/>
    <col min="15" max="16" width="12.28125" style="0" customWidth="1"/>
    <col min="17" max="17" width="10.7109375" style="0" customWidth="1"/>
  </cols>
  <sheetData>
    <row r="1" spans="1:9" ht="21.75" customHeight="1">
      <c r="A1" s="93" t="s">
        <v>137</v>
      </c>
      <c r="B1" s="190">
        <f>'Plano de Trabalho'!E18</f>
        <v>1.5</v>
      </c>
      <c r="C1" s="18"/>
      <c r="D1" s="18"/>
      <c r="I1" s="18"/>
    </row>
    <row r="2" spans="1:14" ht="28.5" customHeight="1">
      <c r="A2" s="322" t="s">
        <v>44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12"/>
    </row>
    <row r="3" spans="1:15" ht="51">
      <c r="A3" s="100" t="s">
        <v>147</v>
      </c>
      <c r="B3" s="101" t="s">
        <v>9</v>
      </c>
      <c r="C3" s="101" t="s">
        <v>26</v>
      </c>
      <c r="D3" s="101" t="s">
        <v>10</v>
      </c>
      <c r="E3" s="101" t="s">
        <v>255</v>
      </c>
      <c r="F3" s="101" t="s">
        <v>263</v>
      </c>
      <c r="G3" s="204" t="s">
        <v>23</v>
      </c>
      <c r="H3" s="227" t="s">
        <v>290</v>
      </c>
      <c r="I3" s="101" t="s">
        <v>11</v>
      </c>
      <c r="J3" s="101" t="s">
        <v>41</v>
      </c>
      <c r="K3" s="101" t="s">
        <v>11</v>
      </c>
      <c r="L3" s="101" t="s">
        <v>289</v>
      </c>
      <c r="M3" s="101" t="s">
        <v>42</v>
      </c>
      <c r="N3" s="6"/>
      <c r="O3" s="6"/>
    </row>
    <row r="4" spans="1:17" ht="30" customHeight="1">
      <c r="A4" s="95" t="s">
        <v>156</v>
      </c>
      <c r="B4" s="95" t="s">
        <v>25</v>
      </c>
      <c r="C4" s="96"/>
      <c r="D4" s="97">
        <v>0</v>
      </c>
      <c r="E4" s="157">
        <f>Controles!I2</f>
        <v>2</v>
      </c>
      <c r="F4" s="97">
        <v>0</v>
      </c>
      <c r="G4" s="98">
        <f>IF(F4&gt;E4,"ERRO",F4*D4)</f>
        <v>0</v>
      </c>
      <c r="H4" s="325">
        <f>SUM(G4:G7)</f>
        <v>0</v>
      </c>
      <c r="I4" s="324">
        <f>IF(Controles!B2=1,6,12)</f>
        <v>12</v>
      </c>
      <c r="J4" s="329">
        <f>I4*0.45</f>
        <v>5.4</v>
      </c>
      <c r="K4" s="324">
        <f>IF(Controles!B2=1,7,IF(Controles!B3=TRUE,20,14))</f>
        <v>14</v>
      </c>
      <c r="L4" s="331">
        <f>SUM(H4:H11)</f>
        <v>0</v>
      </c>
      <c r="M4" s="330">
        <f>IF(AND(L4&gt;K4,Controles!B3=TRUE),9,IF(AND(L4&gt;K4,Controles!B3=FALSE),6.3,L4*0.45))</f>
        <v>0</v>
      </c>
      <c r="N4" s="4"/>
      <c r="O4" s="4"/>
      <c r="P4" s="332">
        <f>IF(OR(H4&gt;I4,H8&gt;I8,H11&gt;I11,L4&gt;K4),"Soma de horas semanais excede o limite referencial para atividades de Pesquisa e Inovação, conforme Art. 20, tabela 3.","")</f>
      </c>
      <c r="Q4" s="332"/>
    </row>
    <row r="5" spans="1:17" ht="30" customHeight="1">
      <c r="A5" s="95" t="s">
        <v>157</v>
      </c>
      <c r="B5" s="95" t="s">
        <v>25</v>
      </c>
      <c r="C5" s="96"/>
      <c r="D5" s="97">
        <v>0</v>
      </c>
      <c r="E5" s="157">
        <f>Controles!I3</f>
        <v>3</v>
      </c>
      <c r="F5" s="97">
        <v>0</v>
      </c>
      <c r="G5" s="153">
        <f aca="true" t="shared" si="0" ref="G5:G11">IF(F5&gt;E5,"ERRO",F5*D5)</f>
        <v>0</v>
      </c>
      <c r="H5" s="326"/>
      <c r="I5" s="324"/>
      <c r="J5" s="329"/>
      <c r="K5" s="324"/>
      <c r="L5" s="331"/>
      <c r="M5" s="330"/>
      <c r="N5" s="4"/>
      <c r="O5" s="4"/>
      <c r="P5" s="332"/>
      <c r="Q5" s="332"/>
    </row>
    <row r="6" spans="1:15" ht="30" customHeight="1">
      <c r="A6" s="95" t="s">
        <v>158</v>
      </c>
      <c r="B6" s="95" t="s">
        <v>25</v>
      </c>
      <c r="C6" s="96"/>
      <c r="D6" s="97">
        <v>0</v>
      </c>
      <c r="E6" s="157">
        <f>Controles!I4</f>
        <v>4</v>
      </c>
      <c r="F6" s="97">
        <v>0</v>
      </c>
      <c r="G6" s="153">
        <f t="shared" si="0"/>
        <v>0</v>
      </c>
      <c r="H6" s="326"/>
      <c r="I6" s="324"/>
      <c r="J6" s="329"/>
      <c r="K6" s="324"/>
      <c r="L6" s="331"/>
      <c r="M6" s="330"/>
      <c r="N6" s="4"/>
      <c r="O6" s="4"/>
    </row>
    <row r="7" spans="1:15" ht="30" customHeight="1">
      <c r="A7" s="95" t="s">
        <v>159</v>
      </c>
      <c r="B7" s="95" t="s">
        <v>25</v>
      </c>
      <c r="C7" s="96"/>
      <c r="D7" s="97">
        <v>0</v>
      </c>
      <c r="E7" s="157">
        <f>Controles!I5</f>
        <v>2</v>
      </c>
      <c r="F7" s="97">
        <v>0</v>
      </c>
      <c r="G7" s="153">
        <f t="shared" si="0"/>
        <v>0</v>
      </c>
      <c r="H7" s="327"/>
      <c r="I7" s="324"/>
      <c r="J7" s="329"/>
      <c r="K7" s="324"/>
      <c r="L7" s="331"/>
      <c r="M7" s="330"/>
      <c r="N7" s="4"/>
      <c r="O7" s="4"/>
    </row>
    <row r="8" spans="1:15" ht="25.5">
      <c r="A8" s="95" t="s">
        <v>94</v>
      </c>
      <c r="B8" s="95" t="s">
        <v>39</v>
      </c>
      <c r="C8" s="96"/>
      <c r="D8" s="97">
        <v>0</v>
      </c>
      <c r="E8" s="157">
        <f>Controles!I6</f>
        <v>8</v>
      </c>
      <c r="F8" s="97">
        <v>0</v>
      </c>
      <c r="G8" s="153">
        <f t="shared" si="0"/>
        <v>0</v>
      </c>
      <c r="H8" s="328">
        <f>SUM(G8:G10)</f>
        <v>0</v>
      </c>
      <c r="I8" s="324">
        <f>IF(Controles!B2=1,6,12)</f>
        <v>12</v>
      </c>
      <c r="J8" s="329">
        <f>I8*0.45</f>
        <v>5.4</v>
      </c>
      <c r="K8" s="324"/>
      <c r="L8" s="331"/>
      <c r="M8" s="330"/>
      <c r="N8" s="4"/>
      <c r="O8" s="4"/>
    </row>
    <row r="9" spans="1:15" ht="25.5">
      <c r="A9" s="95" t="s">
        <v>95</v>
      </c>
      <c r="B9" s="95" t="s">
        <v>39</v>
      </c>
      <c r="C9" s="96"/>
      <c r="D9" s="97">
        <v>0</v>
      </c>
      <c r="E9" s="157">
        <f>Controles!I7</f>
        <v>2</v>
      </c>
      <c r="F9" s="97">
        <v>0</v>
      </c>
      <c r="G9" s="153">
        <f t="shared" si="0"/>
        <v>0</v>
      </c>
      <c r="H9" s="328"/>
      <c r="I9" s="324"/>
      <c r="J9" s="329"/>
      <c r="K9" s="324"/>
      <c r="L9" s="331"/>
      <c r="M9" s="330"/>
      <c r="N9" s="4"/>
      <c r="O9" s="4"/>
    </row>
    <row r="10" spans="1:15" ht="25.5" customHeight="1">
      <c r="A10" s="95" t="s">
        <v>37</v>
      </c>
      <c r="B10" s="95" t="s">
        <v>39</v>
      </c>
      <c r="C10" s="96"/>
      <c r="D10" s="97">
        <v>0</v>
      </c>
      <c r="E10" s="157">
        <f>Controles!I8</f>
        <v>8</v>
      </c>
      <c r="F10" s="97">
        <v>0</v>
      </c>
      <c r="G10" s="153">
        <f t="shared" si="0"/>
        <v>0</v>
      </c>
      <c r="H10" s="328"/>
      <c r="I10" s="324"/>
      <c r="J10" s="329"/>
      <c r="K10" s="324"/>
      <c r="L10" s="331"/>
      <c r="M10" s="330"/>
      <c r="N10" s="4"/>
      <c r="O10" s="4"/>
    </row>
    <row r="11" spans="1:15" ht="25.5">
      <c r="A11" s="95" t="s">
        <v>38</v>
      </c>
      <c r="B11" s="95" t="s">
        <v>40</v>
      </c>
      <c r="C11" s="96"/>
      <c r="D11" s="97">
        <v>0</v>
      </c>
      <c r="E11" s="157">
        <f>Controles!I9</f>
        <v>2</v>
      </c>
      <c r="F11" s="97">
        <v>0</v>
      </c>
      <c r="G11" s="153">
        <f t="shared" si="0"/>
        <v>0</v>
      </c>
      <c r="H11" s="228">
        <f>G11</f>
        <v>0</v>
      </c>
      <c r="I11" s="94">
        <f>IF(Controles!B2=1,2,4)</f>
        <v>4</v>
      </c>
      <c r="J11" s="96">
        <f>I11*0.45</f>
        <v>1.8</v>
      </c>
      <c r="K11" s="324"/>
      <c r="L11" s="331"/>
      <c r="M11" s="330"/>
      <c r="N11" s="4"/>
      <c r="O11" s="4"/>
    </row>
    <row r="12" spans="1:17" ht="78.75" customHeight="1">
      <c r="A12" s="99" t="s">
        <v>249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9"/>
      <c r="P12" s="321"/>
      <c r="Q12" s="321"/>
    </row>
    <row r="13" spans="1:12" ht="21.75" customHeight="1">
      <c r="A13" s="8"/>
      <c r="B13" s="8"/>
      <c r="H13" s="14"/>
      <c r="I13"/>
      <c r="J13" s="5"/>
      <c r="K13" s="5"/>
      <c r="L13" s="10"/>
    </row>
    <row r="14" ht="21.75" customHeight="1"/>
    <row r="15" ht="21.75" customHeight="1">
      <c r="A15" s="230"/>
    </row>
    <row r="16" ht="21.75" customHeight="1"/>
  </sheetData>
  <sheetProtection/>
  <mergeCells count="13">
    <mergeCell ref="M4:M11"/>
    <mergeCell ref="L4:L11"/>
    <mergeCell ref="P4:Q5"/>
    <mergeCell ref="P12:Q12"/>
    <mergeCell ref="A2:M2"/>
    <mergeCell ref="B12:M12"/>
    <mergeCell ref="I4:I7"/>
    <mergeCell ref="I8:I10"/>
    <mergeCell ref="H4:H7"/>
    <mergeCell ref="H8:H10"/>
    <mergeCell ref="J4:J7"/>
    <mergeCell ref="J8:J10"/>
    <mergeCell ref="K4:K11"/>
  </mergeCells>
  <conditionalFormatting sqref="M4:M11">
    <cfRule type="cellIs" priority="9" dxfId="17" operator="greaterThan">
      <formula>$K$4</formula>
    </cfRule>
  </conditionalFormatting>
  <conditionalFormatting sqref="L4:L11">
    <cfRule type="cellIs" priority="8" dxfId="17" operator="greaterThan">
      <formula>$K$4</formula>
    </cfRule>
  </conditionalFormatting>
  <conditionalFormatting sqref="H4:H7">
    <cfRule type="cellIs" priority="1" dxfId="17" operator="greaterThan">
      <formula>$I$4</formula>
    </cfRule>
    <cfRule type="cellIs" priority="5" dxfId="0" operator="greaterThan">
      <formula>$I$4</formula>
    </cfRule>
  </conditionalFormatting>
  <conditionalFormatting sqref="H8:H10">
    <cfRule type="cellIs" priority="2" dxfId="17" operator="greaterThan">
      <formula>$I$8</formula>
    </cfRule>
    <cfRule type="cellIs" priority="3" dxfId="0" operator="greaterThan">
      <formula>$I$8</formula>
    </cfRule>
    <cfRule type="cellIs" priority="4" dxfId="0" operator="greaterThan">
      <formula>$I$8</formula>
    </cfRule>
  </conditionalFormatting>
  <dataValidations count="10">
    <dataValidation type="whole" allowBlank="1" showInputMessage="1" showErrorMessage="1" promptTitle="Indique o valor" prompt="Indique o valor solicitado ou utilize o cursor ao lado." sqref="D4:D11">
      <formula1>0</formula1>
      <formula2>20</formula2>
    </dataValidation>
    <dataValidation type="whole" operator="equal" allowBlank="1" showInputMessage="1" showErrorMessage="1" sqref="E7 E9:E11 E4">
      <formula1>2</formula1>
    </dataValidation>
    <dataValidation type="whole" operator="equal" allowBlank="1" showInputMessage="1" showErrorMessage="1" sqref="E5">
      <formula1>3</formula1>
    </dataValidation>
    <dataValidation type="whole" operator="equal" allowBlank="1" showInputMessage="1" showErrorMessage="1" sqref="E6">
      <formula1>4</formula1>
    </dataValidation>
    <dataValidation type="whole" operator="equal" allowBlank="1" showInputMessage="1" showErrorMessage="1" sqref="E8">
      <formula1>8</formula1>
    </dataValidation>
    <dataValidation type="decimal" allowBlank="1" showInputMessage="1" showErrorMessage="1" promptTitle="Indique o valor" prompt="Indique o número de horas semanais.&#10;&#10;Limite máximo conforme RAD - 2 horas." errorTitle="Rever valor inserido." error="Valor fora dos parâmetros da RAD." sqref="F11 F7 F4 F9">
      <formula1>0</formula1>
      <formula2>E11</formula2>
    </dataValidation>
    <dataValidation type="decimal" allowBlank="1" showInputMessage="1" showErrorMessage="1" promptTitle="Indique o valor" prompt="Indique o número de horas semanais.&#10;&#10;Limite máximo conforme RAD - 8 horas." errorTitle="Rever valor inserido." error="Valor fora dos parâmetros da RAD." sqref="F8 F10">
      <formula1>0</formula1>
      <formula2>E8</formula2>
    </dataValidation>
    <dataValidation type="decimal" allowBlank="1" showInputMessage="1" showErrorMessage="1" promptTitle="Indique o valor" prompt="Indique o número de horas semanais.&#10;&#10;Limite máximo conforme RAD - 3 horas." errorTitle="Rever valor inserido." error="Valor fora dos parâmetros da RAD." sqref="F5">
      <formula1>0</formula1>
      <formula2>E5</formula2>
    </dataValidation>
    <dataValidation type="decimal" allowBlank="1" showInputMessage="1" showErrorMessage="1" promptTitle="Indique o valor" prompt="Indique o número de horas semanais.&#10;&#10;Limite máximo conforme RAD - 4 horas." errorTitle="Rever valor inserido." error="Valor fora dos parâmetros da RAD." sqref="F6">
      <formula1>0</formula1>
      <formula2>E6</formula2>
    </dataValidation>
    <dataValidation type="textLength" showInputMessage="1" showErrorMessage="1" sqref="B12:M12">
      <formula1>0</formula1>
      <formula2>500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1:N19"/>
  <sheetViews>
    <sheetView zoomScalePageLayoutView="0" workbookViewId="0" topLeftCell="B1">
      <pane ySplit="1" topLeftCell="A2" activePane="bottomLeft" state="frozen"/>
      <selection pane="topLeft" activeCell="B1" sqref="B1"/>
      <selection pane="bottomLeft" activeCell="A17" sqref="A17:IV17"/>
    </sheetView>
  </sheetViews>
  <sheetFormatPr defaultColWidth="9.140625" defaultRowHeight="15"/>
  <cols>
    <col min="1" max="1" width="1.7109375" style="0" hidden="1" customWidth="1"/>
    <col min="2" max="2" width="63.8515625" style="0" customWidth="1"/>
    <col min="3" max="3" width="13.57421875" style="0" bestFit="1" customWidth="1"/>
    <col min="4" max="4" width="7.140625" style="2" customWidth="1"/>
    <col min="5" max="5" width="5.57421875" style="2" customWidth="1"/>
    <col min="6" max="6" width="9.57421875" style="0" bestFit="1" customWidth="1"/>
    <col min="7" max="7" width="9.7109375" style="2" customWidth="1"/>
    <col min="8" max="8" width="13.421875" style="5" customWidth="1"/>
    <col min="9" max="9" width="11.7109375" style="5" customWidth="1"/>
    <col min="10" max="10" width="12.140625" style="0" customWidth="1"/>
    <col min="11" max="11" width="10.8515625" style="0" bestFit="1" customWidth="1"/>
    <col min="12" max="13" width="12.28125" style="0" customWidth="1"/>
    <col min="14" max="14" width="10.7109375" style="0" customWidth="1"/>
  </cols>
  <sheetData>
    <row r="1" spans="2:9" ht="21.75" customHeight="1">
      <c r="B1" s="117" t="s">
        <v>137</v>
      </c>
      <c r="C1" s="190">
        <f>'Plano de Trabalho'!E18</f>
        <v>1.5</v>
      </c>
      <c r="D1" s="20"/>
      <c r="E1" s="20"/>
      <c r="F1" s="102"/>
      <c r="G1" s="20"/>
      <c r="H1" s="103"/>
      <c r="I1" s="103"/>
    </row>
    <row r="2" spans="2:11" ht="28.5" customHeight="1">
      <c r="B2" s="322" t="s">
        <v>62</v>
      </c>
      <c r="C2" s="322"/>
      <c r="D2" s="322"/>
      <c r="E2" s="322"/>
      <c r="F2" s="322"/>
      <c r="G2" s="322"/>
      <c r="H2" s="322"/>
      <c r="I2" s="104"/>
      <c r="J2" s="17"/>
      <c r="K2" s="12"/>
    </row>
    <row r="3" spans="2:13" ht="42">
      <c r="B3" s="71"/>
      <c r="C3" s="113"/>
      <c r="D3" s="114" t="s">
        <v>26</v>
      </c>
      <c r="E3" s="115">
        <v>0</v>
      </c>
      <c r="F3" s="116" t="s">
        <v>50</v>
      </c>
      <c r="G3" s="227" t="s">
        <v>290</v>
      </c>
      <c r="H3" s="115" t="s">
        <v>19</v>
      </c>
      <c r="I3" s="105"/>
      <c r="J3" s="11"/>
      <c r="K3" s="4"/>
      <c r="L3" s="4"/>
      <c r="M3" s="4"/>
    </row>
    <row r="4" spans="2:12" ht="58.5" customHeight="1">
      <c r="B4" s="82" t="s">
        <v>52</v>
      </c>
      <c r="C4" s="82" t="s">
        <v>48</v>
      </c>
      <c r="D4" s="76"/>
      <c r="E4" s="85">
        <v>0</v>
      </c>
      <c r="F4" s="76">
        <f>IF(Controles!B2=1,7,14)</f>
        <v>14</v>
      </c>
      <c r="G4" s="86">
        <f>SUM(D8:D17)</f>
        <v>0</v>
      </c>
      <c r="H4" s="86">
        <f>IF(G4&gt;F4,"6,3",G4*0.45)</f>
        <v>0</v>
      </c>
      <c r="I4" s="106"/>
      <c r="J4" s="336">
        <f>IF(G4&gt;F4,"Soma de horas semanais excede o limite referencial para atividades de Extensão, conforme Art. 21, tabela 4.","")</f>
      </c>
      <c r="K4" s="336"/>
      <c r="L4" s="336"/>
    </row>
    <row r="5" spans="2:9" ht="30" customHeight="1">
      <c r="B5" s="90"/>
      <c r="C5" s="82"/>
      <c r="D5" s="91"/>
      <c r="E5" s="85"/>
      <c r="F5" s="86"/>
      <c r="G5" s="91"/>
      <c r="H5" s="76"/>
      <c r="I5" s="107"/>
    </row>
    <row r="6" spans="1:11" ht="15">
      <c r="A6">
        <v>0</v>
      </c>
      <c r="B6" s="283" t="s">
        <v>154</v>
      </c>
      <c r="C6" s="283"/>
      <c r="D6" s="283"/>
      <c r="E6" s="283"/>
      <c r="F6" s="283"/>
      <c r="G6" s="283"/>
      <c r="H6" s="283"/>
      <c r="I6" s="108"/>
      <c r="J6" s="6"/>
      <c r="K6" s="12"/>
    </row>
    <row r="7" spans="1:9" ht="30" customHeight="1" hidden="1">
      <c r="A7">
        <v>0</v>
      </c>
      <c r="B7" s="78" t="s">
        <v>66</v>
      </c>
      <c r="C7" s="112" t="s">
        <v>9</v>
      </c>
      <c r="D7" s="140">
        <v>0</v>
      </c>
      <c r="E7" s="109"/>
      <c r="F7" s="109"/>
      <c r="G7" s="108"/>
      <c r="H7" s="108"/>
      <c r="I7" s="102"/>
    </row>
    <row r="8" spans="1:11" ht="30" customHeight="1" hidden="1">
      <c r="A8">
        <v>0</v>
      </c>
      <c r="B8" s="173" t="s">
        <v>66</v>
      </c>
      <c r="C8" s="82" t="s">
        <v>49</v>
      </c>
      <c r="D8" s="85">
        <v>0</v>
      </c>
      <c r="E8" s="110"/>
      <c r="F8" s="111"/>
      <c r="G8" s="109"/>
      <c r="H8" s="109"/>
      <c r="I8" s="109"/>
      <c r="J8" s="4"/>
      <c r="K8" s="4"/>
    </row>
    <row r="9" spans="1:11" ht="30" customHeight="1" hidden="1">
      <c r="A9">
        <v>0</v>
      </c>
      <c r="B9" s="173" t="s">
        <v>66</v>
      </c>
      <c r="C9" s="82" t="s">
        <v>49</v>
      </c>
      <c r="D9" s="85">
        <v>0</v>
      </c>
      <c r="E9" s="110"/>
      <c r="F9" s="111"/>
      <c r="G9" s="109"/>
      <c r="H9" s="109"/>
      <c r="I9" s="109"/>
      <c r="J9" s="4"/>
      <c r="K9" s="4"/>
    </row>
    <row r="10" spans="1:11" ht="30" customHeight="1" hidden="1">
      <c r="A10">
        <v>0</v>
      </c>
      <c r="B10" s="173" t="s">
        <v>66</v>
      </c>
      <c r="C10" s="82" t="s">
        <v>49</v>
      </c>
      <c r="D10" s="85">
        <v>0</v>
      </c>
      <c r="E10" s="110"/>
      <c r="F10" s="111"/>
      <c r="G10" s="109"/>
      <c r="H10" s="109"/>
      <c r="I10" s="109"/>
      <c r="J10" s="4"/>
      <c r="K10" s="4"/>
    </row>
    <row r="11" spans="1:11" ht="30" customHeight="1" hidden="1">
      <c r="A11">
        <v>0</v>
      </c>
      <c r="B11" s="173" t="s">
        <v>66</v>
      </c>
      <c r="C11" s="82" t="s">
        <v>49</v>
      </c>
      <c r="D11" s="85">
        <v>0</v>
      </c>
      <c r="E11" s="110"/>
      <c r="F11" s="111"/>
      <c r="G11" s="109"/>
      <c r="H11" s="109"/>
      <c r="I11" s="109"/>
      <c r="J11" s="4"/>
      <c r="K11" s="4"/>
    </row>
    <row r="12" spans="1:11" ht="30" customHeight="1" hidden="1">
      <c r="A12">
        <v>0</v>
      </c>
      <c r="B12" s="173" t="s">
        <v>66</v>
      </c>
      <c r="C12" s="82" t="s">
        <v>49</v>
      </c>
      <c r="D12" s="85">
        <v>0</v>
      </c>
      <c r="E12" s="110"/>
      <c r="F12" s="111"/>
      <c r="G12" s="109"/>
      <c r="H12" s="109"/>
      <c r="I12" s="109"/>
      <c r="J12" s="4"/>
      <c r="K12" s="4"/>
    </row>
    <row r="13" spans="1:11" ht="30" customHeight="1" hidden="1">
      <c r="A13">
        <v>0</v>
      </c>
      <c r="B13" s="173" t="s">
        <v>66</v>
      </c>
      <c r="C13" s="82" t="s">
        <v>49</v>
      </c>
      <c r="D13" s="85">
        <v>0</v>
      </c>
      <c r="E13" s="110"/>
      <c r="F13" s="111"/>
      <c r="G13" s="109"/>
      <c r="H13" s="109"/>
      <c r="I13" s="109"/>
      <c r="J13" s="4"/>
      <c r="K13" s="4"/>
    </row>
    <row r="14" spans="1:11" ht="30" customHeight="1" hidden="1">
      <c r="A14">
        <v>0</v>
      </c>
      <c r="B14" s="83" t="s">
        <v>66</v>
      </c>
      <c r="C14" s="82" t="s">
        <v>49</v>
      </c>
      <c r="D14" s="85">
        <v>0</v>
      </c>
      <c r="E14" s="110"/>
      <c r="F14" s="111"/>
      <c r="G14" s="109"/>
      <c r="H14" s="109"/>
      <c r="I14" s="109"/>
      <c r="J14" s="4"/>
      <c r="K14" s="4"/>
    </row>
    <row r="15" spans="1:11" ht="30" customHeight="1" hidden="1">
      <c r="A15">
        <v>0</v>
      </c>
      <c r="B15" s="83" t="s">
        <v>66</v>
      </c>
      <c r="C15" s="82" t="s">
        <v>49</v>
      </c>
      <c r="D15" s="85">
        <v>0</v>
      </c>
      <c r="E15" s="110"/>
      <c r="F15" s="111"/>
      <c r="G15" s="109"/>
      <c r="H15" s="109"/>
      <c r="I15" s="109"/>
      <c r="J15" s="4"/>
      <c r="K15" s="4"/>
    </row>
    <row r="16" spans="1:11" ht="25.5" customHeight="1" hidden="1">
      <c r="A16">
        <v>0</v>
      </c>
      <c r="B16" s="83" t="s">
        <v>66</v>
      </c>
      <c r="C16" s="82" t="s">
        <v>49</v>
      </c>
      <c r="D16" s="85">
        <v>0</v>
      </c>
      <c r="E16" s="110"/>
      <c r="F16" s="111"/>
      <c r="G16" s="109"/>
      <c r="H16" s="109"/>
      <c r="I16" s="109"/>
      <c r="J16" s="4"/>
      <c r="K16" s="4"/>
    </row>
    <row r="17" spans="1:11" ht="25.5" customHeight="1" hidden="1">
      <c r="A17">
        <v>0</v>
      </c>
      <c r="B17" s="83" t="s">
        <v>66</v>
      </c>
      <c r="C17" s="82" t="s">
        <v>49</v>
      </c>
      <c r="D17" s="85">
        <v>0</v>
      </c>
      <c r="E17" s="110"/>
      <c r="F17" s="111"/>
      <c r="G17" s="109"/>
      <c r="H17" s="109"/>
      <c r="I17" s="109"/>
      <c r="J17" s="4"/>
      <c r="K17" s="4"/>
    </row>
    <row r="18" spans="2:10" ht="21.75" customHeight="1">
      <c r="B18" s="34"/>
      <c r="C18" s="34"/>
      <c r="D18" s="33"/>
      <c r="E18" s="33"/>
      <c r="F18" s="33"/>
      <c r="G18"/>
      <c r="J18" s="10"/>
    </row>
    <row r="19" spans="2:14" ht="105" customHeight="1">
      <c r="B19" s="99" t="s">
        <v>248</v>
      </c>
      <c r="C19" s="333"/>
      <c r="D19" s="334"/>
      <c r="E19" s="334"/>
      <c r="F19" s="334"/>
      <c r="G19" s="334"/>
      <c r="H19" s="335"/>
      <c r="I19" s="231"/>
      <c r="J19" s="231"/>
      <c r="K19" s="231"/>
      <c r="L19" s="231"/>
      <c r="M19" s="231"/>
      <c r="N19" s="231"/>
    </row>
    <row r="20" ht="21.75" customHeight="1"/>
  </sheetData>
  <sheetProtection/>
  <mergeCells count="4">
    <mergeCell ref="B2:H2"/>
    <mergeCell ref="B6:H6"/>
    <mergeCell ref="C19:H19"/>
    <mergeCell ref="J4:L4"/>
  </mergeCells>
  <conditionalFormatting sqref="G4">
    <cfRule type="cellIs" priority="1" dxfId="17" operator="greaterThan">
      <formula>$F$4</formula>
    </cfRule>
  </conditionalFormatting>
  <dataValidations count="4">
    <dataValidation type="whole" allowBlank="1" showInputMessage="1" showErrorMessage="1" promptTitle="Atividades de Extensão." prompt="Indique o número de atividades e clique em Atualiza.&#10;Para recomeçar clique em Recomeça." sqref="E4">
      <formula1>0</formula1>
      <formula2>10</formula2>
    </dataValidation>
    <dataValidation type="whole" allowBlank="1" showInputMessage="1" showErrorMessage="1" promptTitle="Horas da Atividade" prompt="Indique o número de horas da Atividade de Extensão ou utilize o cursor ao lado" sqref="D11:D17">
      <formula1>0</formula1>
      <formula2>20</formula2>
    </dataValidation>
    <dataValidation type="whole" allowBlank="1" showInputMessage="1" showErrorMessage="1" promptTitle="Horas da Atividade" prompt="Indique o número de horas da Atividade de Extensão " sqref="D8:D10">
      <formula1>0</formula1>
      <formula2>20</formula2>
    </dataValidation>
    <dataValidation type="textLength" showInputMessage="1" showErrorMessage="1" sqref="I19:N19 C19:H19">
      <formula1>0</formula1>
      <formula2>500</formula2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2"/>
  <ignoredErrors>
    <ignoredError sqref="G4" formulaRange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1:M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47.57421875" style="0" customWidth="1"/>
    <col min="2" max="2" width="13.57421875" style="0" bestFit="1" customWidth="1"/>
    <col min="3" max="3" width="10.7109375" style="149" bestFit="1" customWidth="1"/>
    <col min="4" max="4" width="10.7109375" style="149" customWidth="1"/>
    <col min="5" max="5" width="11.140625" style="0" bestFit="1" customWidth="1"/>
    <col min="6" max="6" width="9.57421875" style="0" bestFit="1" customWidth="1"/>
    <col min="7" max="7" width="9.57421875" style="2" bestFit="1" customWidth="1"/>
    <col min="8" max="8" width="12.00390625" style="0" customWidth="1"/>
    <col min="9" max="9" width="10.8515625" style="0" bestFit="1" customWidth="1"/>
    <col min="10" max="11" width="12.28125" style="0" customWidth="1"/>
    <col min="12" max="12" width="10.7109375" style="0" customWidth="1"/>
  </cols>
  <sheetData>
    <row r="1" spans="1:8" ht="21.75" customHeight="1">
      <c r="A1" s="117" t="s">
        <v>137</v>
      </c>
      <c r="B1" s="190">
        <f>'Plano de Trabalho'!E18</f>
        <v>1.5</v>
      </c>
      <c r="C1" s="20"/>
      <c r="D1" s="20"/>
      <c r="E1" s="102"/>
      <c r="F1" s="102"/>
      <c r="G1" s="20"/>
      <c r="H1" s="102"/>
    </row>
    <row r="2" spans="1:9" ht="30" customHeight="1">
      <c r="A2" s="322" t="s">
        <v>47</v>
      </c>
      <c r="B2" s="322"/>
      <c r="C2" s="322"/>
      <c r="D2" s="322"/>
      <c r="E2" s="322"/>
      <c r="F2" s="322"/>
      <c r="G2" s="322"/>
      <c r="H2" s="322"/>
      <c r="I2" s="12"/>
    </row>
    <row r="3" spans="1:10" ht="42">
      <c r="A3" s="80" t="s">
        <v>146</v>
      </c>
      <c r="B3" s="81" t="s">
        <v>9</v>
      </c>
      <c r="C3" s="101" t="s">
        <v>255</v>
      </c>
      <c r="D3" s="101" t="s">
        <v>293</v>
      </c>
      <c r="E3" s="81" t="s">
        <v>23</v>
      </c>
      <c r="F3" s="81" t="s">
        <v>290</v>
      </c>
      <c r="G3" s="81" t="s">
        <v>45</v>
      </c>
      <c r="H3" s="81" t="s">
        <v>42</v>
      </c>
      <c r="I3" s="6"/>
      <c r="J3" s="6"/>
    </row>
    <row r="4" spans="1:13" ht="33" customHeight="1">
      <c r="A4" s="83" t="s">
        <v>97</v>
      </c>
      <c r="B4" s="82" t="s">
        <v>49</v>
      </c>
      <c r="C4" s="157">
        <f>Controles!K2</f>
        <v>2</v>
      </c>
      <c r="D4" s="85">
        <v>0</v>
      </c>
      <c r="E4" s="118">
        <f aca="true" t="shared" si="0" ref="E4:E9">D4</f>
        <v>0</v>
      </c>
      <c r="F4" s="339">
        <f>SUM(E4:E9)</f>
        <v>0</v>
      </c>
      <c r="G4" s="338">
        <f>IF(Controles!B9=TRUE,40,IF(Controles!B2=1,0,20))</f>
        <v>20</v>
      </c>
      <c r="H4" s="340">
        <f>IF(F4&gt;G4,"9",F4*0.45)</f>
        <v>0</v>
      </c>
      <c r="I4" s="4"/>
      <c r="J4" s="4"/>
      <c r="K4" s="332">
        <f>IF(Controles!B9=TRUE," ",IF(F4&gt;G4,"Soma de horas semanais excede o limite referencial para atividades de Gestão, conforme Art. 22, tabela 5.",""))</f>
      </c>
      <c r="L4" s="332"/>
      <c r="M4" s="332"/>
    </row>
    <row r="5" spans="1:13" ht="32.25" customHeight="1">
      <c r="A5" s="83" t="s">
        <v>98</v>
      </c>
      <c r="B5" s="224" t="s">
        <v>49</v>
      </c>
      <c r="C5" s="157">
        <v>2</v>
      </c>
      <c r="D5" s="85">
        <v>0</v>
      </c>
      <c r="E5" s="237">
        <f t="shared" si="0"/>
        <v>0</v>
      </c>
      <c r="F5" s="339"/>
      <c r="G5" s="338"/>
      <c r="H5" s="340"/>
      <c r="I5" s="4"/>
      <c r="J5" s="4"/>
      <c r="K5" s="332"/>
      <c r="L5" s="332"/>
      <c r="M5" s="332"/>
    </row>
    <row r="6" spans="1:13" ht="30" customHeight="1">
      <c r="A6" s="83" t="s">
        <v>99</v>
      </c>
      <c r="B6" s="224" t="s">
        <v>49</v>
      </c>
      <c r="C6" s="157">
        <f>Controles!K4</f>
        <v>20</v>
      </c>
      <c r="D6" s="85">
        <v>0</v>
      </c>
      <c r="E6" s="237">
        <f t="shared" si="0"/>
        <v>0</v>
      </c>
      <c r="F6" s="339"/>
      <c r="G6" s="338"/>
      <c r="H6" s="340"/>
      <c r="I6" s="4"/>
      <c r="J6" s="4"/>
      <c r="K6" s="332"/>
      <c r="L6" s="332"/>
      <c r="M6" s="332"/>
    </row>
    <row r="7" spans="1:10" ht="30" customHeight="1">
      <c r="A7" s="83" t="s">
        <v>294</v>
      </c>
      <c r="B7" s="224" t="s">
        <v>49</v>
      </c>
      <c r="C7" s="157">
        <f>Controles!K5</f>
        <v>20</v>
      </c>
      <c r="D7" s="85">
        <v>0</v>
      </c>
      <c r="E7" s="237">
        <f t="shared" si="0"/>
        <v>0</v>
      </c>
      <c r="F7" s="339"/>
      <c r="G7" s="338"/>
      <c r="H7" s="340"/>
      <c r="I7" s="4"/>
      <c r="J7" s="4"/>
    </row>
    <row r="8" spans="1:10" ht="44.25" customHeight="1">
      <c r="A8" s="83" t="s">
        <v>100</v>
      </c>
      <c r="B8" s="224" t="s">
        <v>49</v>
      </c>
      <c r="C8" s="157">
        <f>Controles!K6</f>
        <v>2</v>
      </c>
      <c r="D8" s="85">
        <v>0</v>
      </c>
      <c r="E8" s="237">
        <f t="shared" si="0"/>
        <v>0</v>
      </c>
      <c r="F8" s="339"/>
      <c r="G8" s="338"/>
      <c r="H8" s="340"/>
      <c r="I8" s="4"/>
      <c r="J8" s="4"/>
    </row>
    <row r="9" spans="1:10" ht="30" customHeight="1">
      <c r="A9" s="83" t="s">
        <v>101</v>
      </c>
      <c r="B9" s="224" t="s">
        <v>49</v>
      </c>
      <c r="C9" s="157">
        <f>Controles!K7</f>
        <v>4</v>
      </c>
      <c r="D9" s="85">
        <v>0</v>
      </c>
      <c r="E9" s="237">
        <f t="shared" si="0"/>
        <v>0</v>
      </c>
      <c r="F9" s="339"/>
      <c r="G9" s="338"/>
      <c r="H9" s="340"/>
      <c r="I9" s="4"/>
      <c r="J9" s="4"/>
    </row>
    <row r="10" spans="1:12" ht="91.5" customHeight="1">
      <c r="A10" s="82" t="s">
        <v>165</v>
      </c>
      <c r="B10" s="337"/>
      <c r="C10" s="337"/>
      <c r="D10" s="337"/>
      <c r="E10" s="337"/>
      <c r="F10" s="337"/>
      <c r="G10" s="337"/>
      <c r="H10" s="337"/>
      <c r="I10" s="28"/>
      <c r="J10" s="28"/>
      <c r="K10" s="28"/>
      <c r="L10" s="16"/>
    </row>
    <row r="11" spans="1:12" ht="21.75" customHeight="1">
      <c r="A11" s="8"/>
      <c r="B11" s="8"/>
      <c r="F11" s="14"/>
      <c r="G11"/>
      <c r="I11" s="16"/>
      <c r="J11" s="16"/>
      <c r="K11" s="16"/>
      <c r="L11" s="16"/>
    </row>
    <row r="12" ht="21.75" customHeight="1"/>
    <row r="13" ht="21.75" customHeight="1"/>
    <row r="14" ht="21.75" customHeight="1"/>
  </sheetData>
  <sheetProtection/>
  <mergeCells count="6">
    <mergeCell ref="K4:M6"/>
    <mergeCell ref="B10:H10"/>
    <mergeCell ref="G4:G9"/>
    <mergeCell ref="F4:F9"/>
    <mergeCell ref="A2:H2"/>
    <mergeCell ref="H4:H9"/>
  </mergeCells>
  <conditionalFormatting sqref="F4:F9">
    <cfRule type="cellIs" priority="1" dxfId="17" operator="greaterThan">
      <formula>$G$4</formula>
    </cfRule>
  </conditionalFormatting>
  <dataValidations count="5">
    <dataValidation type="textLength" allowBlank="1" showInputMessage="1" showErrorMessage="1" sqref="B10:H10">
      <formula1>0</formula1>
      <formula2>500</formula2>
    </dataValidation>
    <dataValidation type="whole" allowBlank="1" showInputMessage="1" showErrorMessage="1" promptTitle="Horas da Atividade" prompt="Indique o número total de horas por atividade." errorTitle="Verifique o valor." error="Inteiro máximo 2." sqref="D4:D5 D8">
      <formula1>0</formula1>
      <formula2>C4</formula2>
    </dataValidation>
    <dataValidation type="whole" allowBlank="1" showInputMessage="1" showErrorMessage="1" promptTitle="Horas da Atividade" prompt="Indique o número total de horas por atividade." errorTitle="Verifique o valor." error="Inteiro máximo 20, exceto para cargo de direção." sqref="D7">
      <formula1>0</formula1>
      <formula2>40</formula2>
    </dataValidation>
    <dataValidation type="whole" allowBlank="1" showInputMessage="1" showErrorMessage="1" promptTitle="Horas da Atividade" prompt="Indique o número total de horas por atividade." errorTitle="Verifique o valor." error="Inteiro máximo 20." sqref="D6">
      <formula1>0</formula1>
      <formula2>C6</formula2>
    </dataValidation>
    <dataValidation type="whole" allowBlank="1" showInputMessage="1" showErrorMessage="1" promptTitle="Horas da Atividade" prompt="Indique o número total de horas por atividade." errorTitle="Verifique o valor." error="Inteiro máximo 4." sqref="D9">
      <formula1>0</formula1>
      <formula2>C9</formula2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/>
  <dimension ref="A1:M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" sqref="B5:I5"/>
    </sheetView>
  </sheetViews>
  <sheetFormatPr defaultColWidth="9.140625" defaultRowHeight="15"/>
  <cols>
    <col min="1" max="1" width="47.57421875" style="0" customWidth="1"/>
    <col min="2" max="2" width="13.57421875" style="0" bestFit="1" customWidth="1"/>
    <col min="3" max="3" width="5.8515625" style="18" customWidth="1"/>
    <col min="4" max="4" width="6.421875" style="18" customWidth="1"/>
    <col min="5" max="5" width="11.140625" style="0" bestFit="1" customWidth="1"/>
    <col min="6" max="6" width="9.57421875" style="0" bestFit="1" customWidth="1"/>
    <col min="7" max="7" width="9.57421875" style="18" bestFit="1" customWidth="1"/>
    <col min="8" max="8" width="14.140625" style="0" customWidth="1"/>
    <col min="9" max="9" width="12.00390625" style="0" customWidth="1"/>
    <col min="10" max="10" width="10.8515625" style="0" bestFit="1" customWidth="1"/>
    <col min="11" max="12" width="12.28125" style="0" customWidth="1"/>
    <col min="13" max="13" width="10.7109375" style="0" customWidth="1"/>
  </cols>
  <sheetData>
    <row r="1" spans="1:9" ht="21.75" customHeight="1">
      <c r="A1" s="117" t="s">
        <v>137</v>
      </c>
      <c r="B1" s="190">
        <f>'Plano de Trabalho'!E18</f>
        <v>1.5</v>
      </c>
      <c r="C1" s="20"/>
      <c r="D1" s="20"/>
      <c r="E1" s="102"/>
      <c r="F1" s="102"/>
      <c r="G1" s="20"/>
      <c r="H1" s="102"/>
      <c r="I1" s="102"/>
    </row>
    <row r="2" spans="1:10" ht="30" customHeight="1">
      <c r="A2" s="322" t="s">
        <v>155</v>
      </c>
      <c r="B2" s="322"/>
      <c r="C2" s="322"/>
      <c r="D2" s="322"/>
      <c r="E2" s="322"/>
      <c r="F2" s="322"/>
      <c r="G2" s="322"/>
      <c r="H2" s="322"/>
      <c r="I2" s="322"/>
      <c r="J2" s="12"/>
    </row>
    <row r="3" spans="1:11" ht="30" customHeight="1">
      <c r="A3" s="80" t="s">
        <v>148</v>
      </c>
      <c r="B3" s="134" t="s">
        <v>9</v>
      </c>
      <c r="C3" s="134" t="s">
        <v>26</v>
      </c>
      <c r="D3" s="134" t="s">
        <v>10</v>
      </c>
      <c r="E3" s="134" t="s">
        <v>23</v>
      </c>
      <c r="F3" s="134" t="s">
        <v>4</v>
      </c>
      <c r="G3" s="134" t="s">
        <v>45</v>
      </c>
      <c r="H3" s="134" t="s">
        <v>120</v>
      </c>
      <c r="I3" s="134" t="s">
        <v>42</v>
      </c>
      <c r="J3" s="6"/>
      <c r="K3" s="6"/>
    </row>
    <row r="4" spans="1:11" ht="33" customHeight="1">
      <c r="A4" s="83" t="s">
        <v>145</v>
      </c>
      <c r="B4" s="133" t="s">
        <v>49</v>
      </c>
      <c r="C4" s="138"/>
      <c r="D4" s="85">
        <v>0</v>
      </c>
      <c r="E4" s="137">
        <f>D4</f>
        <v>0</v>
      </c>
      <c r="F4" s="137">
        <f>SUM(E4:E4)</f>
        <v>0</v>
      </c>
      <c r="G4" s="136">
        <v>4</v>
      </c>
      <c r="H4" s="135">
        <f>IF(F4&gt;G4,G4,F4)</f>
        <v>0</v>
      </c>
      <c r="I4" s="148" t="s">
        <v>220</v>
      </c>
      <c r="J4" s="4"/>
      <c r="K4" s="4"/>
    </row>
    <row r="5" spans="1:13" ht="91.5" customHeight="1">
      <c r="A5" s="133" t="s">
        <v>166</v>
      </c>
      <c r="B5" s="337"/>
      <c r="C5" s="337"/>
      <c r="D5" s="337"/>
      <c r="E5" s="337"/>
      <c r="F5" s="337"/>
      <c r="G5" s="337"/>
      <c r="H5" s="337"/>
      <c r="I5" s="337"/>
      <c r="J5" s="28"/>
      <c r="K5" s="28"/>
      <c r="L5" s="28"/>
      <c r="M5" s="16"/>
    </row>
    <row r="6" spans="1:13" ht="21.75" customHeight="1">
      <c r="A6" s="8"/>
      <c r="B6" s="8"/>
      <c r="F6" s="14"/>
      <c r="G6"/>
      <c r="H6" s="5"/>
      <c r="J6" s="16"/>
      <c r="K6" s="16"/>
      <c r="L6" s="16"/>
      <c r="M6" s="16"/>
    </row>
    <row r="7" ht="21.75" customHeight="1"/>
    <row r="8" ht="21.75" customHeight="1"/>
    <row r="9" ht="21.75" customHeight="1"/>
  </sheetData>
  <sheetProtection/>
  <mergeCells count="2">
    <mergeCell ref="A2:I2"/>
    <mergeCell ref="B5:I5"/>
  </mergeCells>
  <dataValidations count="3">
    <dataValidation type="whole" allowBlank="1" showInputMessage="1" showErrorMessage="1" errorTitle="Verifique o Valor." error="Valor Máximo 4." sqref="D4">
      <formula1>0</formula1>
      <formula2>20</formula2>
    </dataValidation>
    <dataValidation type="textLength" allowBlank="1" showInputMessage="1" showErrorMessage="1" sqref="B5:I5">
      <formula1>0</formula1>
      <formula2>500</formula2>
    </dataValidation>
    <dataValidation type="decimal" allowBlank="1" showInputMessage="1" showErrorMessage="1" errorTitle="Rever valor inserido" error="Número de horas superior ao limite estabelecido." sqref="H4">
      <formula1>0</formula1>
      <formula2>4</formula2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O121"/>
  <sheetViews>
    <sheetView zoomScalePageLayoutView="0" workbookViewId="0" topLeftCell="A10">
      <selection activeCell="A118" sqref="A118:IV118"/>
    </sheetView>
  </sheetViews>
  <sheetFormatPr defaultColWidth="9.140625" defaultRowHeight="14.25" customHeight="1"/>
  <cols>
    <col min="1" max="1" width="31.140625" style="23" customWidth="1"/>
    <col min="2" max="2" width="26.421875" style="23" customWidth="1"/>
    <col min="3" max="3" width="11.57421875" style="23" customWidth="1"/>
    <col min="4" max="4" width="11.57421875" style="24" customWidth="1"/>
    <col min="5" max="5" width="12.00390625" style="25" customWidth="1"/>
    <col min="6" max="16384" width="9.140625" style="16" customWidth="1"/>
  </cols>
  <sheetData>
    <row r="1" spans="1:12" ht="14.25" customHeight="1">
      <c r="A1" s="359" t="str">
        <f>CONCATENATE("PROPOSTA DE PLANO INDIVIDUAL DE TRABALHO"," ",D11)</f>
        <v>PROPOSTA DE PLANO INDIVIDUAL DE TRABALHO 0</v>
      </c>
      <c r="B1" s="359"/>
      <c r="C1" s="359"/>
      <c r="D1" s="359"/>
      <c r="E1" s="359"/>
      <c r="F1" s="119"/>
      <c r="G1" s="119"/>
      <c r="H1" s="119"/>
      <c r="I1" s="119"/>
      <c r="J1" s="119"/>
      <c r="K1" s="119"/>
      <c r="L1" s="119"/>
    </row>
    <row r="2" spans="1:12" ht="14.25" customHeight="1">
      <c r="A2" s="121" t="s">
        <v>53</v>
      </c>
      <c r="B2" s="360" t="str">
        <f>Identificação!B4</f>
        <v>NOME</v>
      </c>
      <c r="C2" s="360"/>
      <c r="D2" s="360"/>
      <c r="E2" s="360"/>
      <c r="F2" s="119"/>
      <c r="G2" s="119"/>
      <c r="H2" s="119"/>
      <c r="I2" s="119"/>
      <c r="J2" s="119"/>
      <c r="K2" s="119"/>
      <c r="L2" s="119"/>
    </row>
    <row r="3" spans="1:12" ht="14.25" customHeight="1">
      <c r="A3" s="121" t="s">
        <v>71</v>
      </c>
      <c r="B3" s="360">
        <f>Identificação!B5</f>
        <v>0</v>
      </c>
      <c r="C3" s="360"/>
      <c r="D3" s="360"/>
      <c r="E3" s="360"/>
      <c r="F3" s="119"/>
      <c r="G3" s="119"/>
      <c r="H3" s="119"/>
      <c r="I3" s="119"/>
      <c r="J3" s="119"/>
      <c r="K3" s="119"/>
      <c r="L3" s="119"/>
    </row>
    <row r="4" spans="1:12" ht="14.25" customHeight="1">
      <c r="A4" s="121" t="s">
        <v>69</v>
      </c>
      <c r="B4" s="360" t="str">
        <f>Identificação!B6</f>
        <v>LOTAÇÃO</v>
      </c>
      <c r="C4" s="360"/>
      <c r="D4" s="360"/>
      <c r="E4" s="360"/>
      <c r="F4" s="119"/>
      <c r="G4" s="119"/>
      <c r="H4" s="119"/>
      <c r="I4" s="119"/>
      <c r="J4" s="119"/>
      <c r="K4" s="119"/>
      <c r="L4" s="119"/>
    </row>
    <row r="5" spans="1:12" ht="14.25" customHeight="1">
      <c r="A5" s="121" t="s">
        <v>13</v>
      </c>
      <c r="B5" s="360" t="str">
        <f>IF(Controles!B2=1,"20 horas",IF(Controles!B2=2,"40 horas","Dedicação Exclusiva"))</f>
        <v>Dedicação Exclusiva</v>
      </c>
      <c r="C5" s="360"/>
      <c r="D5" s="360"/>
      <c r="E5" s="360"/>
      <c r="F5" s="119"/>
      <c r="G5" s="119"/>
      <c r="H5" s="119"/>
      <c r="I5" s="119"/>
      <c r="J5" s="119"/>
      <c r="K5" s="119"/>
      <c r="L5" s="119"/>
    </row>
    <row r="6" spans="1:12" ht="14.25" customHeight="1">
      <c r="A6" s="121" t="s">
        <v>54</v>
      </c>
      <c r="B6" s="360">
        <f>Identificação!B7</f>
        <v>0</v>
      </c>
      <c r="C6" s="360"/>
      <c r="D6" s="360"/>
      <c r="E6" s="360"/>
      <c r="F6" s="119"/>
      <c r="G6" s="119"/>
      <c r="H6" s="119"/>
      <c r="I6" s="119"/>
      <c r="J6" s="119"/>
      <c r="K6" s="119"/>
      <c r="L6" s="119"/>
    </row>
    <row r="7" spans="1:12" ht="14.25" customHeight="1">
      <c r="A7" s="121" t="s">
        <v>55</v>
      </c>
      <c r="B7" s="360">
        <f>Identificação!B8</f>
        <v>10101010</v>
      </c>
      <c r="C7" s="360"/>
      <c r="D7" s="360"/>
      <c r="E7" s="360"/>
      <c r="F7" s="119"/>
      <c r="G7" s="119"/>
      <c r="H7" s="119"/>
      <c r="I7" s="119"/>
      <c r="J7" s="119"/>
      <c r="K7" s="119"/>
      <c r="L7" s="119"/>
    </row>
    <row r="8" spans="1:12" ht="14.25" customHeight="1">
      <c r="A8" s="353" t="s">
        <v>72</v>
      </c>
      <c r="B8" s="353"/>
      <c r="C8" s="353"/>
      <c r="D8" s="360" t="str">
        <f>IF(Controles!B3=FALSE,"NÃO","SIM")</f>
        <v>NÃO</v>
      </c>
      <c r="E8" s="360"/>
      <c r="F8" s="119"/>
      <c r="G8" s="119"/>
      <c r="H8" s="119"/>
      <c r="I8" s="119"/>
      <c r="J8" s="119"/>
      <c r="K8" s="119"/>
      <c r="L8" s="119"/>
    </row>
    <row r="9" spans="1:12" ht="14.25" customHeight="1">
      <c r="A9" s="353" t="s">
        <v>251</v>
      </c>
      <c r="B9" s="353"/>
      <c r="C9" s="353"/>
      <c r="D9" s="360" t="str">
        <f>IF(Controles!B9=FALSE,"NÃO","SIM")</f>
        <v>NÃO</v>
      </c>
      <c r="E9" s="360"/>
      <c r="F9" s="119"/>
      <c r="G9" s="119"/>
      <c r="H9" s="119"/>
      <c r="I9" s="119"/>
      <c r="J9" s="119"/>
      <c r="K9" s="119"/>
      <c r="L9" s="119"/>
    </row>
    <row r="10" spans="1:12" ht="14.25" customHeight="1">
      <c r="A10" s="368"/>
      <c r="B10" s="368"/>
      <c r="C10" s="368"/>
      <c r="D10" s="368"/>
      <c r="E10" s="368"/>
      <c r="F10" s="119"/>
      <c r="G10" s="119"/>
      <c r="H10" s="119"/>
      <c r="I10" s="119"/>
      <c r="J10" s="119"/>
      <c r="K10" s="119"/>
      <c r="L10" s="119"/>
    </row>
    <row r="11" spans="1:12" ht="14.25" customHeight="1">
      <c r="A11" s="365" t="s">
        <v>117</v>
      </c>
      <c r="B11" s="365"/>
      <c r="C11" s="365"/>
      <c r="D11" s="112">
        <f>Identificação!B3</f>
        <v>0</v>
      </c>
      <c r="E11" s="122"/>
      <c r="F11" s="119"/>
      <c r="G11" s="119"/>
      <c r="H11" s="119"/>
      <c r="I11" s="119"/>
      <c r="J11" s="119"/>
      <c r="K11" s="119"/>
      <c r="L11" s="119"/>
    </row>
    <row r="12" spans="1:12" ht="14.25" customHeight="1">
      <c r="A12" s="366"/>
      <c r="B12" s="366"/>
      <c r="C12" s="366"/>
      <c r="D12" s="366"/>
      <c r="E12" s="76" t="s">
        <v>61</v>
      </c>
      <c r="F12" s="119"/>
      <c r="G12" s="119"/>
      <c r="H12" s="119"/>
      <c r="I12" s="119"/>
      <c r="J12" s="119"/>
      <c r="K12" s="119"/>
      <c r="L12" s="119"/>
    </row>
    <row r="13" spans="1:12" ht="14.25" customHeight="1">
      <c r="A13" s="367" t="s">
        <v>57</v>
      </c>
      <c r="B13" s="367"/>
      <c r="C13" s="367"/>
      <c r="D13" s="367"/>
      <c r="E13" s="123">
        <f>Ensino!L30+Ensino!I37+Ensino!N40</f>
        <v>1.5</v>
      </c>
      <c r="F13" s="119"/>
      <c r="G13" s="119"/>
      <c r="H13" s="119"/>
      <c r="I13" s="119"/>
      <c r="J13" s="119"/>
      <c r="K13" s="119"/>
      <c r="L13" s="119"/>
    </row>
    <row r="14" spans="1:12" ht="14.25" customHeight="1">
      <c r="A14" s="367" t="s">
        <v>58</v>
      </c>
      <c r="B14" s="367"/>
      <c r="C14" s="367"/>
      <c r="D14" s="367"/>
      <c r="E14" s="123">
        <f>Pesquisa!L4</f>
        <v>0</v>
      </c>
      <c r="F14" s="119"/>
      <c r="G14" s="119"/>
      <c r="H14" s="119"/>
      <c r="I14" s="119"/>
      <c r="J14" s="119"/>
      <c r="K14" s="119"/>
      <c r="L14" s="119"/>
    </row>
    <row r="15" spans="1:12" ht="14.25" customHeight="1">
      <c r="A15" s="367" t="s">
        <v>59</v>
      </c>
      <c r="B15" s="367"/>
      <c r="C15" s="367"/>
      <c r="D15" s="367"/>
      <c r="E15" s="123">
        <f>Extensão!G4</f>
        <v>0</v>
      </c>
      <c r="F15" s="119"/>
      <c r="G15" s="119"/>
      <c r="H15" s="119"/>
      <c r="I15" s="119"/>
      <c r="J15" s="119"/>
      <c r="K15" s="119"/>
      <c r="L15" s="119"/>
    </row>
    <row r="16" spans="1:12" ht="14.25" customHeight="1">
      <c r="A16" s="367" t="s">
        <v>68</v>
      </c>
      <c r="B16" s="367"/>
      <c r="C16" s="367"/>
      <c r="D16" s="367"/>
      <c r="E16" s="123">
        <f>Gestão!F4</f>
        <v>0</v>
      </c>
      <c r="F16" s="119"/>
      <c r="G16" s="119"/>
      <c r="H16" s="119"/>
      <c r="I16" s="119"/>
      <c r="J16" s="119"/>
      <c r="K16" s="119"/>
      <c r="L16" s="119"/>
    </row>
    <row r="17" spans="1:12" ht="14.25" customHeight="1">
      <c r="A17" s="367" t="s">
        <v>145</v>
      </c>
      <c r="B17" s="367"/>
      <c r="C17" s="367"/>
      <c r="D17" s="367"/>
      <c r="E17" s="123">
        <f>Capacitação!H4</f>
        <v>0</v>
      </c>
      <c r="F17" s="119"/>
      <c r="G17" s="119"/>
      <c r="H17" s="119"/>
      <c r="I17" s="119"/>
      <c r="J17" s="119"/>
      <c r="K17" s="119"/>
      <c r="L17" s="119"/>
    </row>
    <row r="18" spans="1:12" ht="14.25" customHeight="1">
      <c r="A18" s="363" t="s">
        <v>67</v>
      </c>
      <c r="B18" s="363"/>
      <c r="C18" s="363"/>
      <c r="D18" s="363"/>
      <c r="E18" s="156">
        <f>SUM(E13:E17)</f>
        <v>1.5</v>
      </c>
      <c r="F18" s="119"/>
      <c r="G18" s="280">
        <f>IF(E18&gt;I18,"Excede o número de horas previsto no regime de trabalho.","")</f>
      </c>
      <c r="H18" s="280"/>
      <c r="I18" s="236">
        <f>IF(Controles!B2=1,20,40)</f>
        <v>40</v>
      </c>
      <c r="J18" s="119"/>
      <c r="K18" s="119"/>
      <c r="L18" s="119"/>
    </row>
    <row r="19" spans="1:12" ht="14.25" customHeight="1">
      <c r="A19" s="124" t="e">
        <f>VLOOKUP(B3,Controles!B13:C27,2,FALSE)</f>
        <v>#N/A</v>
      </c>
      <c r="B19" s="125">
        <f ca="1">TODAY()</f>
        <v>43318</v>
      </c>
      <c r="C19" s="375"/>
      <c r="D19" s="376"/>
      <c r="E19" s="376"/>
      <c r="F19" s="119"/>
      <c r="G19" s="280"/>
      <c r="H19" s="280"/>
      <c r="I19" s="119"/>
      <c r="J19" s="119"/>
      <c r="K19" s="119"/>
      <c r="L19" s="119"/>
    </row>
    <row r="20" spans="1:12" ht="113.25" customHeight="1">
      <c r="A20" s="381" t="str">
        <f>IF(Controles!B9=TRUE,"",Ensino!Q30&amp;" "&amp;Ensino!Q32&amp;" "&amp;Ensino!Q51&amp;" "&amp;Pesquisa!P4&amp;" "&amp;Extensão!J4&amp;" "&amp;Gestão!K4&amp;" "&amp;G18)</f>
        <v>      </v>
      </c>
      <c r="B20" s="382"/>
      <c r="C20" s="364" t="str">
        <f>B2</f>
        <v>NOME</v>
      </c>
      <c r="D20" s="364"/>
      <c r="E20" s="364"/>
      <c r="F20" s="119"/>
      <c r="G20" s="119"/>
      <c r="H20" s="119"/>
      <c r="I20" s="119"/>
      <c r="J20" s="119"/>
      <c r="K20" s="119"/>
      <c r="L20" s="119"/>
    </row>
    <row r="21" spans="1:12" ht="14.25" customHeight="1">
      <c r="A21" s="361" t="s">
        <v>168</v>
      </c>
      <c r="B21" s="362"/>
      <c r="C21" s="362"/>
      <c r="D21" s="362"/>
      <c r="E21" s="362"/>
      <c r="F21" s="119"/>
      <c r="G21" s="119"/>
      <c r="H21" s="119"/>
      <c r="I21" s="119"/>
      <c r="J21" s="119"/>
      <c r="K21" s="119"/>
      <c r="L21" s="119"/>
    </row>
    <row r="22" spans="1:12" ht="14.25" customHeight="1">
      <c r="A22" s="361"/>
      <c r="B22" s="362"/>
      <c r="C22" s="362"/>
      <c r="D22" s="362"/>
      <c r="E22" s="362"/>
      <c r="F22" s="119"/>
      <c r="G22" s="119"/>
      <c r="H22" s="119"/>
      <c r="I22" s="119"/>
      <c r="J22" s="119"/>
      <c r="K22" s="119"/>
      <c r="L22" s="119"/>
    </row>
    <row r="23" spans="1:12" ht="14.25" customHeight="1">
      <c r="A23" s="361" t="s">
        <v>119</v>
      </c>
      <c r="B23" s="362" t="s">
        <v>102</v>
      </c>
      <c r="C23" s="362"/>
      <c r="D23" s="362"/>
      <c r="E23" s="362"/>
      <c r="F23" s="119"/>
      <c r="G23" s="119"/>
      <c r="H23" s="119"/>
      <c r="I23" s="119"/>
      <c r="J23" s="119"/>
      <c r="K23" s="119"/>
      <c r="L23" s="119"/>
    </row>
    <row r="24" spans="1:12" ht="14.25" customHeight="1">
      <c r="A24" s="361"/>
      <c r="B24" s="362"/>
      <c r="C24" s="362"/>
      <c r="D24" s="362"/>
      <c r="E24" s="362"/>
      <c r="F24" s="119"/>
      <c r="G24" s="119"/>
      <c r="H24" s="119"/>
      <c r="I24" s="119"/>
      <c r="J24" s="119"/>
      <c r="K24" s="119"/>
      <c r="L24" s="119"/>
    </row>
    <row r="25" spans="1:12" ht="14.25" customHeight="1">
      <c r="A25" s="338"/>
      <c r="B25" s="338"/>
      <c r="C25" s="338"/>
      <c r="D25" s="338"/>
      <c r="E25" s="338"/>
      <c r="F25" s="119"/>
      <c r="G25" s="119"/>
      <c r="H25" s="119"/>
      <c r="I25" s="119"/>
      <c r="J25" s="119"/>
      <c r="K25" s="119"/>
      <c r="L25" s="119"/>
    </row>
    <row r="26" spans="1:12" ht="14.25" customHeight="1">
      <c r="A26" s="378" t="s">
        <v>118</v>
      </c>
      <c r="B26" s="378"/>
      <c r="C26" s="378"/>
      <c r="D26" s="205">
        <f>D11</f>
        <v>0</v>
      </c>
      <c r="E26" s="206"/>
      <c r="F26" s="119"/>
      <c r="G26" s="119"/>
      <c r="H26" s="119"/>
      <c r="I26" s="119"/>
      <c r="J26" s="119"/>
      <c r="K26" s="119"/>
      <c r="L26" s="119"/>
    </row>
    <row r="27" spans="1:12" s="21" customFormat="1" ht="14.25" customHeight="1">
      <c r="A27" s="354" t="s">
        <v>57</v>
      </c>
      <c r="B27" s="354"/>
      <c r="C27" s="354"/>
      <c r="D27" s="354"/>
      <c r="E27" s="208" t="s">
        <v>61</v>
      </c>
      <c r="F27" s="119"/>
      <c r="G27" s="119"/>
      <c r="H27" s="119"/>
      <c r="I27" s="119"/>
      <c r="J27" s="119"/>
      <c r="K27" s="119"/>
      <c r="L27" s="119"/>
    </row>
    <row r="28" spans="1:12" s="22" customFormat="1" ht="14.25" customHeight="1">
      <c r="A28" s="377" t="s">
        <v>63</v>
      </c>
      <c r="B28" s="377"/>
      <c r="C28" s="377"/>
      <c r="D28" s="377"/>
      <c r="E28" s="207" t="s">
        <v>61</v>
      </c>
      <c r="F28" s="120"/>
      <c r="G28" s="120"/>
      <c r="H28" s="120"/>
      <c r="I28" s="120"/>
      <c r="J28" s="120"/>
      <c r="K28" s="120"/>
      <c r="L28" s="120"/>
    </row>
    <row r="29" spans="1:12" s="22" customFormat="1" ht="14.25" customHeight="1" hidden="1">
      <c r="A29" s="353" t="s">
        <v>0</v>
      </c>
      <c r="B29" s="353"/>
      <c r="C29" s="353"/>
      <c r="D29" s="353"/>
      <c r="E29" s="126">
        <f>Ensino!G30</f>
        <v>0</v>
      </c>
      <c r="F29" s="120"/>
      <c r="G29" s="120"/>
      <c r="H29" s="120"/>
      <c r="I29" s="120"/>
      <c r="J29" s="120"/>
      <c r="K29" s="120"/>
      <c r="L29" s="120"/>
    </row>
    <row r="30" spans="1:12" s="22" customFormat="1" ht="14.25" customHeight="1" hidden="1">
      <c r="A30" s="353" t="s">
        <v>1</v>
      </c>
      <c r="B30" s="353"/>
      <c r="C30" s="353"/>
      <c r="D30" s="353"/>
      <c r="E30" s="126">
        <f>Ensino!G31</f>
        <v>0</v>
      </c>
      <c r="F30" s="120"/>
      <c r="G30" s="120"/>
      <c r="H30" s="120"/>
      <c r="I30" s="120"/>
      <c r="J30" s="120"/>
      <c r="K30" s="120"/>
      <c r="L30" s="120"/>
    </row>
    <row r="31" spans="1:12" s="22" customFormat="1" ht="14.25" customHeight="1" hidden="1">
      <c r="A31" s="353" t="s">
        <v>2</v>
      </c>
      <c r="B31" s="353"/>
      <c r="C31" s="353"/>
      <c r="D31" s="353"/>
      <c r="E31" s="126">
        <f>Ensino!G32</f>
        <v>0</v>
      </c>
      <c r="F31" s="120"/>
      <c r="G31" s="120"/>
      <c r="H31" s="120"/>
      <c r="I31" s="120"/>
      <c r="J31" s="120"/>
      <c r="K31" s="120"/>
      <c r="L31" s="120"/>
    </row>
    <row r="32" spans="1:12" s="22" customFormat="1" ht="14.25" customHeight="1" hidden="1">
      <c r="A32" s="353" t="s">
        <v>3</v>
      </c>
      <c r="B32" s="353"/>
      <c r="C32" s="353"/>
      <c r="D32" s="353"/>
      <c r="E32" s="126">
        <f>Ensino!G33</f>
        <v>0</v>
      </c>
      <c r="F32" s="120"/>
      <c r="G32" s="120"/>
      <c r="H32" s="120"/>
      <c r="I32" s="120"/>
      <c r="J32" s="120"/>
      <c r="K32" s="120"/>
      <c r="L32" s="120"/>
    </row>
    <row r="33" spans="1:12" ht="14.25" customHeight="1">
      <c r="A33" s="374" t="s">
        <v>65</v>
      </c>
      <c r="B33" s="374"/>
      <c r="C33" s="374"/>
      <c r="D33" s="374"/>
      <c r="E33" s="156">
        <f>SUM(E29:E32)</f>
        <v>0</v>
      </c>
      <c r="F33" s="119"/>
      <c r="G33" s="119"/>
      <c r="H33" s="119"/>
      <c r="I33" s="119"/>
      <c r="J33" s="119"/>
      <c r="K33" s="119"/>
      <c r="L33" s="119"/>
    </row>
    <row r="34" spans="1:12" ht="14.25" customHeight="1" hidden="1">
      <c r="A34" s="380" t="s">
        <v>149</v>
      </c>
      <c r="B34" s="380"/>
      <c r="C34" s="380"/>
      <c r="D34" s="380"/>
      <c r="E34" s="112" t="s">
        <v>61</v>
      </c>
      <c r="F34" s="119"/>
      <c r="G34" s="119"/>
      <c r="H34" s="119"/>
      <c r="I34" s="119"/>
      <c r="J34" s="119"/>
      <c r="K34" s="119"/>
      <c r="L34" s="119"/>
    </row>
    <row r="35" spans="1:12" ht="21.75" customHeight="1" hidden="1">
      <c r="A35" s="295" t="str">
        <f>CONCATENATE(Ensino!C7," / ",Ensino!E7," (",Ensino!D7,") Aulas Semanais: ",Ensino!H7," Turmas: ",Ensino!I7," Semanas: ",Ensino!J7)</f>
        <v>Nome do componente curricular / Nome do curso () Aulas Semanais: 0 Turmas: 0 Semanas: 0</v>
      </c>
      <c r="B35" s="295"/>
      <c r="C35" s="295"/>
      <c r="D35" s="295"/>
      <c r="E35" s="211">
        <f>Ensino!K7</f>
        <v>0</v>
      </c>
      <c r="F35" s="119"/>
      <c r="G35" s="119"/>
      <c r="H35" s="119"/>
      <c r="I35" s="119"/>
      <c r="J35" s="119"/>
      <c r="K35" s="119"/>
      <c r="L35" s="119"/>
    </row>
    <row r="36" spans="1:12" ht="21.75" customHeight="1" hidden="1">
      <c r="A36" s="295" t="str">
        <f>CONCATENATE(Ensino!C8," / ",Ensino!E8," (",Ensino!D8,") Aulas Semanais: ",Ensino!H8," Turmas: ",Ensino!I8," Semanas: ",Ensino!J8)</f>
        <v>Nome do componente curricular / Nome do curso () Aulas Semanais: 0 Turmas: 0 Semanas: 0</v>
      </c>
      <c r="B36" s="295"/>
      <c r="C36" s="295"/>
      <c r="D36" s="295"/>
      <c r="E36" s="211">
        <f>Ensino!K8</f>
        <v>0</v>
      </c>
      <c r="F36" s="119"/>
      <c r="G36" s="119"/>
      <c r="H36" s="119"/>
      <c r="I36" s="119"/>
      <c r="J36" s="119"/>
      <c r="K36" s="119"/>
      <c r="L36" s="119"/>
    </row>
    <row r="37" spans="1:12" ht="21.75" customHeight="1" hidden="1">
      <c r="A37" s="295" t="str">
        <f>CONCATENATE(Ensino!C9," / ",Ensino!E9," (",Ensino!D9,") Aulas Semanais: ",Ensino!H9," Turmas: ",Ensino!I9," Semanas: ",Ensino!J9)</f>
        <v>Nome do componente curricular / Nome do curso () Aulas Semanais: 0 Turmas: 0 Semanas: 0</v>
      </c>
      <c r="B37" s="295"/>
      <c r="C37" s="295"/>
      <c r="D37" s="295"/>
      <c r="E37" s="211">
        <f>Ensino!K9</f>
        <v>0</v>
      </c>
      <c r="F37" s="119"/>
      <c r="G37" s="119"/>
      <c r="H37" s="119"/>
      <c r="I37" s="119"/>
      <c r="J37" s="119"/>
      <c r="K37" s="119"/>
      <c r="L37" s="119"/>
    </row>
    <row r="38" spans="1:12" ht="21.75" customHeight="1" hidden="1">
      <c r="A38" s="295" t="str">
        <f>CONCATENATE(Ensino!C10," / ",Ensino!E10," (",Ensino!D10,") Aulas Semanais: ",Ensino!H10," Turmas: ",Ensino!I10," Semanas: ",Ensino!J10)</f>
        <v>Nome do componente curricular / Nome do curso () Aulas Semanais: 0 Turmas: 0 Semanas: 0</v>
      </c>
      <c r="B38" s="295"/>
      <c r="C38" s="295"/>
      <c r="D38" s="295"/>
      <c r="E38" s="211">
        <f>Ensino!K10</f>
        <v>0</v>
      </c>
      <c r="F38" s="119"/>
      <c r="G38" s="119"/>
      <c r="H38" s="119"/>
      <c r="I38" s="119"/>
      <c r="J38" s="119"/>
      <c r="K38" s="119"/>
      <c r="L38" s="119"/>
    </row>
    <row r="39" spans="1:12" ht="21.75" customHeight="1" hidden="1">
      <c r="A39" s="295" t="str">
        <f>CONCATENATE(Ensino!C11," / ",Ensino!E11," (",Ensino!D11,") Aulas Semanais: ",Ensino!H11," Turmas: ",Ensino!I11," Semanas: ",Ensino!J11)</f>
        <v>Nome do componente curricular / Nome do curso () Aulas Semanais: 0 Turmas: 0 Semanas: 0</v>
      </c>
      <c r="B39" s="295"/>
      <c r="C39" s="295"/>
      <c r="D39" s="295"/>
      <c r="E39" s="211">
        <f>Ensino!K11</f>
        <v>0</v>
      </c>
      <c r="F39" s="119"/>
      <c r="G39" s="119"/>
      <c r="H39" s="119"/>
      <c r="I39" s="119"/>
      <c r="J39" s="119"/>
      <c r="K39" s="119"/>
      <c r="L39" s="119"/>
    </row>
    <row r="40" spans="1:12" ht="21.75" customHeight="1" hidden="1">
      <c r="A40" s="295" t="str">
        <f>CONCATENATE(Ensino!C12," / ",Ensino!E12," (",Ensino!D12,") Aulas Semanais: ",Ensino!H12," Turmas: ",Ensino!I12," Semanas: ",Ensino!J12)</f>
        <v>Nome do componente curricular / Nome do curso () Aulas Semanais: 0 Turmas: 0 Semanas: 0</v>
      </c>
      <c r="B40" s="295"/>
      <c r="C40" s="295"/>
      <c r="D40" s="295"/>
      <c r="E40" s="211">
        <f>Ensino!K12</f>
        <v>0</v>
      </c>
      <c r="F40" s="119"/>
      <c r="G40" s="119"/>
      <c r="H40" s="119"/>
      <c r="I40" s="119"/>
      <c r="J40" s="119"/>
      <c r="K40" s="119"/>
      <c r="L40" s="119"/>
    </row>
    <row r="41" spans="1:12" ht="21.75" customHeight="1" hidden="1">
      <c r="A41" s="295" t="str">
        <f>CONCATENATE(Ensino!C13," / ",Ensino!E13," (",Ensino!D13,") Aulas Semanais: ",Ensino!H13," Turmas: ",Ensino!I13," Semanas: ",Ensino!J13)</f>
        <v>Nome do componente curricular / Nome do curso () Aulas Semanais: 0 Turmas: 0 Semanas: 0</v>
      </c>
      <c r="B41" s="295"/>
      <c r="C41" s="295"/>
      <c r="D41" s="295"/>
      <c r="E41" s="211">
        <f>Ensino!K13</f>
        <v>0</v>
      </c>
      <c r="F41" s="119"/>
      <c r="G41" s="119"/>
      <c r="H41" s="119"/>
      <c r="I41" s="119"/>
      <c r="J41" s="119"/>
      <c r="K41" s="119"/>
      <c r="L41" s="119"/>
    </row>
    <row r="42" spans="1:12" ht="21.75" customHeight="1" hidden="1">
      <c r="A42" s="295" t="str">
        <f>CONCATENATE(Ensino!C14," / ",Ensino!E14," (",Ensino!D14,") Aulas Semanais: ",Ensino!H14," Turmas: ",Ensino!I14," Semanas: ",Ensino!J14)</f>
        <v>Nome do componente curricular / Nome do curso () Aulas Semanais: 0 Turmas: 0 Semanas: 0</v>
      </c>
      <c r="B42" s="295"/>
      <c r="C42" s="295"/>
      <c r="D42" s="295"/>
      <c r="E42" s="211">
        <f>Ensino!K14</f>
        <v>0</v>
      </c>
      <c r="F42" s="119"/>
      <c r="G42" s="119"/>
      <c r="H42" s="119"/>
      <c r="I42" s="119"/>
      <c r="J42" s="119"/>
      <c r="K42" s="119"/>
      <c r="L42" s="119"/>
    </row>
    <row r="43" spans="1:12" ht="21.75" customHeight="1" hidden="1">
      <c r="A43" s="295" t="str">
        <f>CONCATENATE(Ensino!C15," / ",Ensino!E15," (",Ensino!D15,") Aulas Semanais: ",Ensino!H15," Turmas: ",Ensino!I15," Semanas: ",Ensino!J15)</f>
        <v>Nome do componente curricular / Nome do curso () Aulas Semanais: 0 Turmas: 0 Semanas: 0</v>
      </c>
      <c r="B43" s="295"/>
      <c r="C43" s="295"/>
      <c r="D43" s="295"/>
      <c r="E43" s="211">
        <f>Ensino!K15</f>
        <v>0</v>
      </c>
      <c r="F43" s="119"/>
      <c r="G43" s="119"/>
      <c r="H43" s="119"/>
      <c r="I43" s="119"/>
      <c r="J43" s="119"/>
      <c r="K43" s="119"/>
      <c r="L43" s="119"/>
    </row>
    <row r="44" spans="1:12" ht="21.75" customHeight="1" hidden="1">
      <c r="A44" s="295" t="str">
        <f>CONCATENATE(Ensino!C16," / ",Ensino!E16," (",Ensino!D16,") Aulas Semanais: ",Ensino!H16," Turmas: ",Ensino!I16," Semanas: ",Ensino!J16)</f>
        <v>Nome do componente curricular / Nome do curso () Aulas Semanais: 0 Turmas: 0 Semanas: 0</v>
      </c>
      <c r="B44" s="295"/>
      <c r="C44" s="295"/>
      <c r="D44" s="295"/>
      <c r="E44" s="211">
        <f>Ensino!K16</f>
        <v>0</v>
      </c>
      <c r="F44" s="119"/>
      <c r="G44" s="119"/>
      <c r="H44" s="119"/>
      <c r="I44" s="119"/>
      <c r="J44" s="119"/>
      <c r="K44" s="119"/>
      <c r="L44" s="119"/>
    </row>
    <row r="45" spans="1:12" ht="21.75" customHeight="1" hidden="1">
      <c r="A45" s="295" t="str">
        <f>CONCATENATE(Ensino!C17," / ",Ensino!E17," (",Ensino!D17,") Aulas Semanais: ",Ensino!H17," Turmas: ",Ensino!I17," Semanas: ",Ensino!J17)</f>
        <v>Nome do componente curricular / Nome do curso () Aulas Semanais: 0 Turmas: 0 Semanas: 0</v>
      </c>
      <c r="B45" s="295"/>
      <c r="C45" s="295"/>
      <c r="D45" s="295"/>
      <c r="E45" s="211">
        <f>Ensino!K17</f>
        <v>0</v>
      </c>
      <c r="F45" s="119"/>
      <c r="G45" s="119"/>
      <c r="H45" s="119"/>
      <c r="I45" s="119"/>
      <c r="J45" s="119"/>
      <c r="K45" s="119"/>
      <c r="L45" s="119"/>
    </row>
    <row r="46" spans="1:12" ht="21.75" customHeight="1" hidden="1">
      <c r="A46" s="295" t="str">
        <f>CONCATENATE(Ensino!C18," / ",Ensino!E18," (",Ensino!D18,") Aulas Semanais: ",Ensino!H18," Turmas: ",Ensino!I18," Semanas: ",Ensino!J18)</f>
        <v>Nome do componente curricular / Nome do curso () Aulas Semanais: 0 Turmas: 0 Semanas: 0</v>
      </c>
      <c r="B46" s="295"/>
      <c r="C46" s="295"/>
      <c r="D46" s="295"/>
      <c r="E46" s="211">
        <f>Ensino!K18</f>
        <v>0</v>
      </c>
      <c r="F46" s="119"/>
      <c r="G46" s="119"/>
      <c r="H46" s="119"/>
      <c r="I46" s="119"/>
      <c r="J46" s="119"/>
      <c r="K46" s="119"/>
      <c r="L46" s="119"/>
    </row>
    <row r="47" spans="1:12" s="22" customFormat="1" ht="21.75" customHeight="1" hidden="1">
      <c r="A47" s="295" t="str">
        <f>CONCATENATE(Ensino!C19," / ",Ensino!E19," (",Ensino!D19,") Aulas Semanais: ",Ensino!H19," Turmas: ",Ensino!I19," Semanas: ",Ensino!J19)</f>
        <v>Nome do componente curricular / Nome do curso () Aulas Semanais: 0 Turmas: 0 Semanas: 0</v>
      </c>
      <c r="B47" s="295"/>
      <c r="C47" s="295"/>
      <c r="D47" s="295"/>
      <c r="E47" s="211">
        <f>Ensino!K19</f>
        <v>0</v>
      </c>
      <c r="F47" s="120"/>
      <c r="G47" s="120"/>
      <c r="H47" s="120"/>
      <c r="I47" s="120"/>
      <c r="J47" s="120"/>
      <c r="K47" s="120"/>
      <c r="L47" s="120"/>
    </row>
    <row r="48" spans="1:12" s="22" customFormat="1" ht="21.75" customHeight="1" hidden="1">
      <c r="A48" s="295" t="str">
        <f>CONCATENATE(Ensino!C20," / ",Ensino!E20," (",Ensino!D20,") Aulas Semanais: ",Ensino!H20," Turmas: ",Ensino!I20," Semanas: ",Ensino!J20)</f>
        <v>Nome do componente curricular / Nome do curso () Aulas Semanais: 0 Turmas: 0 Semanas: 0</v>
      </c>
      <c r="B48" s="295"/>
      <c r="C48" s="295"/>
      <c r="D48" s="295"/>
      <c r="E48" s="211">
        <f>Ensino!K20</f>
        <v>0</v>
      </c>
      <c r="F48" s="120"/>
      <c r="G48" s="120"/>
      <c r="H48" s="120"/>
      <c r="I48" s="120"/>
      <c r="J48" s="120"/>
      <c r="K48" s="120"/>
      <c r="L48" s="120"/>
    </row>
    <row r="49" spans="1:12" s="22" customFormat="1" ht="21.75" customHeight="1" hidden="1">
      <c r="A49" s="295" t="str">
        <f>CONCATENATE(Ensino!C21," / ",Ensino!E21," (",Ensino!D21,") Aulas Semanais: ",Ensino!H21," Turmas: ",Ensino!I21," Semanas: ",Ensino!J21)</f>
        <v>Nome do componente curricular / Nome do curso () Aulas Semanais: 0 Turmas: 0 Semanas: 0</v>
      </c>
      <c r="B49" s="295"/>
      <c r="C49" s="295"/>
      <c r="D49" s="295"/>
      <c r="E49" s="211">
        <f>Ensino!K21</f>
        <v>0</v>
      </c>
      <c r="F49" s="120"/>
      <c r="G49" s="120"/>
      <c r="H49" s="120"/>
      <c r="I49" s="120"/>
      <c r="J49" s="120"/>
      <c r="K49" s="120"/>
      <c r="L49" s="120"/>
    </row>
    <row r="50" spans="1:12" s="22" customFormat="1" ht="21.75" customHeight="1" hidden="1">
      <c r="A50" s="295" t="str">
        <f>CONCATENATE(Ensino!C22," / ",Ensino!E22," (",Ensino!D22,") Aulas Semanais: ",Ensino!H22," Turmas: ",Ensino!I22," Semanas: ",Ensino!J22)</f>
        <v>Nome do componente curricular / Nome do curso () Aulas Semanais: 0 Turmas: 0 Semanas: 0</v>
      </c>
      <c r="B50" s="295"/>
      <c r="C50" s="295"/>
      <c r="D50" s="295"/>
      <c r="E50" s="211">
        <f>Ensino!K22</f>
        <v>0</v>
      </c>
      <c r="F50" s="120"/>
      <c r="G50" s="120"/>
      <c r="H50" s="120"/>
      <c r="I50" s="120"/>
      <c r="J50" s="120"/>
      <c r="K50" s="120"/>
      <c r="L50" s="120"/>
    </row>
    <row r="51" spans="1:12" s="22" customFormat="1" ht="21.75" customHeight="1" hidden="1">
      <c r="A51" s="295" t="str">
        <f>CONCATENATE(Ensino!C23," / ",Ensino!E23," (",Ensino!D23,") Aulas Semanais: ",Ensino!H23," Turmas: ",Ensino!I23," Semanas: ",Ensino!J23)</f>
        <v>Nome do componente curricular / Nome do curso () Aulas Semanais: 0 Turmas: 0 Semanas: 0</v>
      </c>
      <c r="B51" s="295"/>
      <c r="C51" s="295"/>
      <c r="D51" s="295"/>
      <c r="E51" s="211">
        <f>Ensino!K23</f>
        <v>0</v>
      </c>
      <c r="F51" s="120"/>
      <c r="G51" s="120"/>
      <c r="H51" s="120"/>
      <c r="I51" s="120"/>
      <c r="J51" s="120"/>
      <c r="K51" s="120"/>
      <c r="L51" s="120"/>
    </row>
    <row r="52" spans="1:12" s="22" customFormat="1" ht="21.75" customHeight="1" hidden="1">
      <c r="A52" s="295" t="str">
        <f>CONCATENATE(Ensino!C24," / ",Ensino!E24," (",Ensino!D24,") Aulas Semanais: ",Ensino!H24," Turmas: ",Ensino!I24," Semanas: ",Ensino!J24)</f>
        <v>Nome do componente curricular / Nome do curso () Aulas Semanais: 0 Turmas: 0 Semanas: 0</v>
      </c>
      <c r="B52" s="295"/>
      <c r="C52" s="295"/>
      <c r="D52" s="295"/>
      <c r="E52" s="211">
        <f>Ensino!K24</f>
        <v>0</v>
      </c>
      <c r="F52" s="120"/>
      <c r="G52" s="120"/>
      <c r="H52" s="120"/>
      <c r="I52" s="120"/>
      <c r="J52" s="120"/>
      <c r="K52" s="120"/>
      <c r="L52" s="120"/>
    </row>
    <row r="53" spans="1:12" s="22" customFormat="1" ht="21.75" customHeight="1" hidden="1">
      <c r="A53" s="295" t="str">
        <f>CONCATENATE(Ensino!C25," / ",Ensino!E25," (",Ensino!D25,") Aulas Semanais: ",Ensino!H25," Turmas: ",Ensino!I25," Semanas: ",Ensino!J25)</f>
        <v>Nome do componente curricular / Nome do curso () Aulas Semanais: 0 Turmas: 0 Semanas: 0</v>
      </c>
      <c r="B53" s="295"/>
      <c r="C53" s="295"/>
      <c r="D53" s="295"/>
      <c r="E53" s="211">
        <f>Ensino!K25</f>
        <v>0</v>
      </c>
      <c r="F53" s="120"/>
      <c r="G53" s="120"/>
      <c r="H53" s="120"/>
      <c r="I53" s="120"/>
      <c r="J53" s="120"/>
      <c r="K53" s="120"/>
      <c r="L53" s="120"/>
    </row>
    <row r="54" spans="1:12" s="22" customFormat="1" ht="21.75" customHeight="1" hidden="1">
      <c r="A54" s="295" t="str">
        <f>CONCATENATE(Ensino!C26," / ",Ensino!E26," (",Ensino!D26,") Aulas Semanais: ",Ensino!H26," Turmas: ",Ensino!I26," Semanas: ",Ensino!J26)</f>
        <v>Nome do componente curricular / Nome do curso () Aulas Semanais: 0 Turmas: 0 Semanas: 0</v>
      </c>
      <c r="B54" s="295"/>
      <c r="C54" s="295"/>
      <c r="D54" s="295"/>
      <c r="E54" s="211">
        <f>Ensino!K26</f>
        <v>0</v>
      </c>
      <c r="F54" s="120"/>
      <c r="G54" s="120"/>
      <c r="H54" s="120"/>
      <c r="I54" s="120"/>
      <c r="J54" s="120"/>
      <c r="K54" s="120"/>
      <c r="L54" s="120"/>
    </row>
    <row r="55" spans="1:12" s="22" customFormat="1" ht="21.75" customHeight="1" hidden="1">
      <c r="A55" s="295" t="str">
        <f>CONCATENATE(Ensino!C27," / ",Ensino!E27," (",Ensino!D27,") Aulas Semanais: ",Ensino!H27," Turmas: ",Ensino!I27," Semanas: ",Ensino!J27)</f>
        <v>Nome do componente curricular / Nome do curso () Aulas Semanais: 0 Turmas: 0 Semanas: 0</v>
      </c>
      <c r="B55" s="295"/>
      <c r="C55" s="295"/>
      <c r="D55" s="295"/>
      <c r="E55" s="211">
        <f>Ensino!K27</f>
        <v>0</v>
      </c>
      <c r="F55" s="120"/>
      <c r="G55" s="120"/>
      <c r="H55" s="120"/>
      <c r="I55" s="120"/>
      <c r="J55" s="120"/>
      <c r="K55" s="120"/>
      <c r="L55" s="120"/>
    </row>
    <row r="56" spans="1:12" s="22" customFormat="1" ht="14.25" customHeight="1">
      <c r="A56" s="341"/>
      <c r="B56" s="342"/>
      <c r="C56" s="342"/>
      <c r="D56" s="342"/>
      <c r="E56" s="343"/>
      <c r="F56" s="120"/>
      <c r="G56" s="120"/>
      <c r="H56" s="120"/>
      <c r="I56" s="120"/>
      <c r="J56" s="120"/>
      <c r="K56" s="120"/>
      <c r="L56" s="120"/>
    </row>
    <row r="57" spans="1:12" s="22" customFormat="1" ht="14.25" customHeight="1">
      <c r="A57" s="379" t="s">
        <v>56</v>
      </c>
      <c r="B57" s="379"/>
      <c r="C57" s="379"/>
      <c r="D57" s="379"/>
      <c r="E57" s="112" t="s">
        <v>61</v>
      </c>
      <c r="F57" s="120"/>
      <c r="G57" s="120"/>
      <c r="H57" s="120"/>
      <c r="I57" s="120"/>
      <c r="J57" s="120"/>
      <c r="K57" s="120"/>
      <c r="L57" s="120"/>
    </row>
    <row r="58" spans="1:12" ht="14.25" customHeight="1" hidden="1">
      <c r="A58" s="353" t="str">
        <f>Ensino!C37</f>
        <v>Preparação e registro de aulas/notas Elaboração de material didático </v>
      </c>
      <c r="B58" s="353"/>
      <c r="C58" s="353"/>
      <c r="D58" s="353"/>
      <c r="E58" s="126">
        <f>Ensino!I37</f>
        <v>0</v>
      </c>
      <c r="F58" s="119"/>
      <c r="G58" s="119"/>
      <c r="H58" s="119"/>
      <c r="I58" s="119"/>
      <c r="J58" s="119"/>
      <c r="K58" s="119"/>
      <c r="L58" s="119"/>
    </row>
    <row r="59" spans="1:12" ht="14.25" customHeight="1" hidden="1">
      <c r="A59" s="353" t="str">
        <f>Ensino!C40</f>
        <v>Estágio curricular não obrigatório - Orientação e supervisão</v>
      </c>
      <c r="B59" s="353"/>
      <c r="C59" s="353"/>
      <c r="D59" s="353"/>
      <c r="E59" s="126">
        <f>Ensino!I40</f>
        <v>0</v>
      </c>
      <c r="F59" s="119"/>
      <c r="G59" s="119"/>
      <c r="H59" s="119"/>
      <c r="I59" s="119"/>
      <c r="J59" s="119"/>
      <c r="K59" s="119"/>
      <c r="L59" s="119"/>
    </row>
    <row r="60" spans="1:12" ht="14.25" customHeight="1" hidden="1">
      <c r="A60" s="353" t="str">
        <f>Ensino!C41</f>
        <v>Estágio curricular obrigatório - Orientação e supervisão</v>
      </c>
      <c r="B60" s="353"/>
      <c r="C60" s="353"/>
      <c r="D60" s="353"/>
      <c r="E60" s="126">
        <f>Ensino!I41</f>
        <v>0</v>
      </c>
      <c r="F60" s="119"/>
      <c r="G60" s="119"/>
      <c r="H60" s="119"/>
      <c r="I60" s="119"/>
      <c r="J60" s="119"/>
      <c r="K60" s="119"/>
      <c r="L60" s="119"/>
    </row>
    <row r="61" spans="1:12" ht="14.25" customHeight="1" hidden="1">
      <c r="A61" s="353" t="str">
        <f>Ensino!C42</f>
        <v>TCC de cursos técnicos de nível médio  - Orientação e coorientação </v>
      </c>
      <c r="B61" s="353"/>
      <c r="C61" s="353"/>
      <c r="D61" s="353"/>
      <c r="E61" s="126">
        <f>Ensino!I42</f>
        <v>0</v>
      </c>
      <c r="F61" s="119"/>
      <c r="G61" s="119"/>
      <c r="H61" s="119"/>
      <c r="I61" s="119"/>
      <c r="J61" s="119"/>
      <c r="K61" s="119"/>
      <c r="L61" s="119"/>
    </row>
    <row r="62" spans="1:12" ht="14.25" customHeight="1" hidden="1">
      <c r="A62" s="353" t="str">
        <f>Ensino!C43</f>
        <v>TCC de graduação - Orientação e coorientação </v>
      </c>
      <c r="B62" s="353"/>
      <c r="C62" s="353"/>
      <c r="D62" s="353"/>
      <c r="E62" s="126">
        <f>Ensino!I43</f>
        <v>0</v>
      </c>
      <c r="F62" s="119"/>
      <c r="G62" s="119"/>
      <c r="H62" s="119"/>
      <c r="I62" s="119"/>
      <c r="J62" s="119"/>
      <c r="K62" s="119"/>
      <c r="L62" s="119"/>
    </row>
    <row r="63" spans="1:12" s="13" customFormat="1" ht="14.25" customHeight="1" hidden="1">
      <c r="A63" s="353" t="str">
        <f>Ensino!C44</f>
        <v>Atendimento ao discente presencial</v>
      </c>
      <c r="B63" s="353"/>
      <c r="C63" s="353"/>
      <c r="D63" s="353"/>
      <c r="E63" s="126">
        <f>Ensino!I44</f>
        <v>0</v>
      </c>
      <c r="F63" s="72"/>
      <c r="G63" s="72"/>
      <c r="H63" s="72"/>
      <c r="I63" s="72"/>
      <c r="J63" s="72"/>
      <c r="K63" s="72"/>
      <c r="L63" s="72"/>
    </row>
    <row r="64" spans="1:12" ht="14.25" customHeight="1" hidden="1">
      <c r="A64" s="353" t="str">
        <f>Ensino!C45</f>
        <v>Tutoria </v>
      </c>
      <c r="B64" s="353"/>
      <c r="C64" s="353"/>
      <c r="D64" s="353"/>
      <c r="E64" s="126">
        <f>Ensino!I45</f>
        <v>0</v>
      </c>
      <c r="F64" s="119"/>
      <c r="G64" s="119"/>
      <c r="H64" s="119"/>
      <c r="I64" s="119"/>
      <c r="J64" s="119"/>
      <c r="K64" s="119"/>
      <c r="L64" s="119"/>
    </row>
    <row r="65" spans="1:12" ht="14.25" customHeight="1" hidden="1">
      <c r="A65" s="353" t="str">
        <f>Ensino!C46</f>
        <v>Orientação de monitoria</v>
      </c>
      <c r="B65" s="353"/>
      <c r="C65" s="353"/>
      <c r="D65" s="353"/>
      <c r="E65" s="126">
        <f>Ensino!I46</f>
        <v>0</v>
      </c>
      <c r="F65" s="119"/>
      <c r="G65" s="119"/>
      <c r="H65" s="119"/>
      <c r="I65" s="119"/>
      <c r="J65" s="119"/>
      <c r="K65" s="119"/>
      <c r="L65" s="119"/>
    </row>
    <row r="66" spans="1:12" ht="14.25" customHeight="1" hidden="1">
      <c r="A66" s="353" t="str">
        <f>Ensino!C47</f>
        <v>Atividades complementares - Orientação e supervisão</v>
      </c>
      <c r="B66" s="353"/>
      <c r="C66" s="353"/>
      <c r="D66" s="353"/>
      <c r="E66" s="126">
        <f>Ensino!I47</f>
        <v>0</v>
      </c>
      <c r="F66" s="119"/>
      <c r="G66" s="119"/>
      <c r="H66" s="119"/>
      <c r="I66" s="119"/>
      <c r="J66" s="119"/>
      <c r="K66" s="119"/>
      <c r="L66" s="119"/>
    </row>
    <row r="67" spans="1:12" ht="14.25" customHeight="1">
      <c r="A67" s="353" t="str">
        <f>Ensino!C48</f>
        <v>Reuniões pedagógicas</v>
      </c>
      <c r="B67" s="353"/>
      <c r="C67" s="353"/>
      <c r="D67" s="353"/>
      <c r="E67" s="126">
        <f>Ensino!I48</f>
        <v>1.5</v>
      </c>
      <c r="F67" s="119"/>
      <c r="G67" s="119"/>
      <c r="H67" s="119"/>
      <c r="I67" s="119"/>
      <c r="J67" s="119"/>
      <c r="K67" s="119"/>
      <c r="L67" s="119"/>
    </row>
    <row r="68" spans="1:12" ht="14.25" customHeight="1" hidden="1">
      <c r="A68" s="353" t="str">
        <f>Ensino!C49</f>
        <v>Projetos de Ensino</v>
      </c>
      <c r="B68" s="353"/>
      <c r="C68" s="353"/>
      <c r="D68" s="353"/>
      <c r="E68" s="126">
        <f>Ensino!I49</f>
        <v>0</v>
      </c>
      <c r="F68" s="119"/>
      <c r="G68" s="119"/>
      <c r="H68" s="119"/>
      <c r="I68" s="119"/>
      <c r="J68" s="119"/>
      <c r="K68" s="119"/>
      <c r="L68" s="119"/>
    </row>
    <row r="69" spans="1:12" ht="14.25" customHeight="1" hidden="1">
      <c r="A69" s="353" t="str">
        <f>Ensino!C50</f>
        <v>Atividades em sala de aula com bolsa</v>
      </c>
      <c r="B69" s="353"/>
      <c r="C69" s="353"/>
      <c r="D69" s="353"/>
      <c r="E69" s="126">
        <f>Ensino!I50</f>
        <v>0</v>
      </c>
      <c r="F69" s="119"/>
      <c r="G69" s="119"/>
      <c r="H69" s="119"/>
      <c r="I69" s="119"/>
      <c r="J69" s="119"/>
      <c r="K69" s="119"/>
      <c r="L69" s="119"/>
    </row>
    <row r="70" spans="1:12" ht="14.25" customHeight="1">
      <c r="A70" s="341"/>
      <c r="B70" s="342"/>
      <c r="C70" s="342"/>
      <c r="D70" s="342"/>
      <c r="E70" s="343"/>
      <c r="F70" s="119"/>
      <c r="G70" s="119"/>
      <c r="H70" s="119"/>
      <c r="I70" s="119"/>
      <c r="J70" s="119"/>
      <c r="K70" s="119"/>
      <c r="L70" s="119"/>
    </row>
    <row r="71" spans="1:12" ht="14.25" customHeight="1">
      <c r="A71" s="379" t="s">
        <v>258</v>
      </c>
      <c r="B71" s="379"/>
      <c r="C71" s="379"/>
      <c r="D71" s="379"/>
      <c r="E71" s="127">
        <f>Ensino!N40</f>
        <v>1.5</v>
      </c>
      <c r="F71" s="119"/>
      <c r="G71" s="119"/>
      <c r="H71" s="119"/>
      <c r="I71" s="119"/>
      <c r="J71" s="119"/>
      <c r="K71" s="119"/>
      <c r="L71" s="119"/>
    </row>
    <row r="72" spans="1:12" ht="15" customHeight="1" hidden="1">
      <c r="A72" s="347" t="s">
        <v>140</v>
      </c>
      <c r="B72" s="348"/>
      <c r="C72" s="348"/>
      <c r="D72" s="348"/>
      <c r="E72" s="349"/>
      <c r="F72" s="119"/>
      <c r="G72" s="119"/>
      <c r="H72" s="119"/>
      <c r="I72" s="119"/>
      <c r="J72" s="119"/>
      <c r="K72" s="119"/>
      <c r="L72" s="119"/>
    </row>
    <row r="73" spans="1:12" ht="81.75" customHeight="1" hidden="1">
      <c r="A73" s="353">
        <f>Ensino!D51</f>
        <v>0</v>
      </c>
      <c r="B73" s="353"/>
      <c r="C73" s="353"/>
      <c r="D73" s="353"/>
      <c r="E73" s="199"/>
      <c r="F73" s="119"/>
      <c r="G73" s="119"/>
      <c r="H73" s="119"/>
      <c r="I73" s="119"/>
      <c r="J73" s="119"/>
      <c r="K73" s="119"/>
      <c r="L73" s="119"/>
    </row>
    <row r="74" spans="1:12" ht="16.5" customHeight="1">
      <c r="A74" s="369" t="s">
        <v>64</v>
      </c>
      <c r="B74" s="369"/>
      <c r="C74" s="369"/>
      <c r="D74" s="369"/>
      <c r="E74" s="155">
        <f>E33+E71+E58</f>
        <v>1.5</v>
      </c>
      <c r="F74" s="119"/>
      <c r="G74" s="119"/>
      <c r="H74" s="119"/>
      <c r="I74" s="119"/>
      <c r="J74" s="119"/>
      <c r="K74" s="119"/>
      <c r="L74" s="119"/>
    </row>
    <row r="75" spans="1:12" ht="14.25" customHeight="1">
      <c r="A75" s="371"/>
      <c r="B75" s="372"/>
      <c r="C75" s="372"/>
      <c r="D75" s="372"/>
      <c r="E75" s="373"/>
      <c r="F75" s="119"/>
      <c r="G75" s="119"/>
      <c r="H75" s="119"/>
      <c r="I75" s="119"/>
      <c r="J75" s="119"/>
      <c r="K75" s="119"/>
      <c r="L75" s="119"/>
    </row>
    <row r="76" spans="1:12" ht="14.25" customHeight="1">
      <c r="A76" s="354" t="s">
        <v>58</v>
      </c>
      <c r="B76" s="354"/>
      <c r="C76" s="354"/>
      <c r="D76" s="354" t="s">
        <v>10</v>
      </c>
      <c r="E76" s="208" t="s">
        <v>61</v>
      </c>
      <c r="F76" s="119"/>
      <c r="G76" s="119"/>
      <c r="H76" s="119"/>
      <c r="I76" s="119"/>
      <c r="J76" s="119"/>
      <c r="K76" s="119"/>
      <c r="L76" s="119"/>
    </row>
    <row r="77" spans="1:12" s="13" customFormat="1" ht="14.25" customHeight="1" hidden="1">
      <c r="A77" s="370" t="str">
        <f>Pesquisa!A4</f>
        <v>Monografia de especialização - Orientação e coorientação</v>
      </c>
      <c r="B77" s="370"/>
      <c r="C77" s="370"/>
      <c r="D77" s="209">
        <f>Pesquisa!D4</f>
        <v>0</v>
      </c>
      <c r="E77" s="210">
        <f>Pesquisa!G4</f>
        <v>0</v>
      </c>
      <c r="F77" s="72"/>
      <c r="G77" s="72"/>
      <c r="H77" s="72"/>
      <c r="I77" s="72"/>
      <c r="J77" s="72"/>
      <c r="K77" s="72"/>
      <c r="L77" s="72"/>
    </row>
    <row r="78" spans="1:12" ht="14.25" customHeight="1" hidden="1">
      <c r="A78" s="353" t="str">
        <f>Pesquisa!A5</f>
        <v>Dissertação de mestrado - Orientação e coorientação</v>
      </c>
      <c r="B78" s="353"/>
      <c r="C78" s="353"/>
      <c r="D78" s="203">
        <f>Pesquisa!D5</f>
        <v>0</v>
      </c>
      <c r="E78" s="123">
        <f>Pesquisa!G5</f>
        <v>0</v>
      </c>
      <c r="F78" s="119"/>
      <c r="G78" s="119"/>
      <c r="H78" s="119"/>
      <c r="I78" s="119"/>
      <c r="J78" s="119"/>
      <c r="K78" s="119"/>
      <c r="L78" s="119"/>
    </row>
    <row r="79" spans="1:12" ht="14.25" customHeight="1" hidden="1">
      <c r="A79" s="353" t="str">
        <f>Pesquisa!A6</f>
        <v>Tese de doutorado - Orientação e coorientação</v>
      </c>
      <c r="B79" s="353"/>
      <c r="C79" s="353"/>
      <c r="D79" s="203">
        <f>Pesquisa!D6</f>
        <v>0</v>
      </c>
      <c r="E79" s="123">
        <f>Pesquisa!G6</f>
        <v>0</v>
      </c>
      <c r="F79" s="119"/>
      <c r="G79" s="119"/>
      <c r="H79" s="119"/>
      <c r="I79" s="119"/>
      <c r="J79" s="119"/>
      <c r="K79" s="119"/>
      <c r="L79" s="119"/>
    </row>
    <row r="80" spans="1:12" ht="14.25" customHeight="1" hidden="1">
      <c r="A80" s="353" t="str">
        <f>Pesquisa!A7</f>
        <v>Bolsistas de iniciação científica e tecnológica - Orientação </v>
      </c>
      <c r="B80" s="353"/>
      <c r="C80" s="353"/>
      <c r="D80" s="203">
        <f>Pesquisa!D7</f>
        <v>0</v>
      </c>
      <c r="E80" s="123">
        <f>Pesquisa!G7</f>
        <v>0</v>
      </c>
      <c r="F80" s="119"/>
      <c r="G80" s="119"/>
      <c r="H80" s="119"/>
      <c r="I80" s="119"/>
      <c r="J80" s="119"/>
      <c r="K80" s="119"/>
      <c r="L80" s="119"/>
    </row>
    <row r="81" spans="1:12" ht="14.25" customHeight="1" hidden="1">
      <c r="A81" s="353" t="str">
        <f>Pesquisa!A8</f>
        <v>Projetos de pesquisa - Coordenação</v>
      </c>
      <c r="B81" s="353"/>
      <c r="C81" s="353"/>
      <c r="D81" s="203">
        <f>Pesquisa!D8</f>
        <v>0</v>
      </c>
      <c r="E81" s="123">
        <f>Pesquisa!G8</f>
        <v>0</v>
      </c>
      <c r="F81" s="119"/>
      <c r="G81" s="119"/>
      <c r="H81" s="119"/>
      <c r="I81" s="119"/>
      <c r="J81" s="119"/>
      <c r="K81" s="119"/>
      <c r="L81" s="119"/>
    </row>
    <row r="82" spans="1:12" ht="14.25" customHeight="1" hidden="1">
      <c r="A82" s="353" t="str">
        <f>Pesquisa!A9</f>
        <v>Projetos de pesquisa - Colaboração</v>
      </c>
      <c r="B82" s="353"/>
      <c r="C82" s="353"/>
      <c r="D82" s="203">
        <f>Pesquisa!D9</f>
        <v>0</v>
      </c>
      <c r="E82" s="123">
        <f>Pesquisa!G9</f>
        <v>0</v>
      </c>
      <c r="F82" s="119"/>
      <c r="G82" s="119"/>
      <c r="H82" s="119"/>
      <c r="I82" s="119"/>
      <c r="J82" s="119"/>
      <c r="K82" s="119"/>
      <c r="L82" s="119"/>
    </row>
    <row r="83" spans="1:12" ht="14.25" customHeight="1" hidden="1">
      <c r="A83" s="353" t="str">
        <f>Pesquisa!A10</f>
        <v>Projetos de desenvolvimento e inovação</v>
      </c>
      <c r="B83" s="353"/>
      <c r="C83" s="353"/>
      <c r="D83" s="203">
        <f>Pesquisa!D10</f>
        <v>0</v>
      </c>
      <c r="E83" s="123">
        <f>Pesquisa!G10</f>
        <v>0</v>
      </c>
      <c r="F83" s="119"/>
      <c r="G83" s="119"/>
      <c r="H83" s="119"/>
      <c r="I83" s="119"/>
      <c r="J83" s="119"/>
      <c r="K83" s="119"/>
      <c r="L83" s="119"/>
    </row>
    <row r="84" spans="1:12" ht="14.25" customHeight="1" hidden="1">
      <c r="A84" s="353" t="str">
        <f>Pesquisa!A11</f>
        <v>Participação em comitês científicos e de ética em pesquisa</v>
      </c>
      <c r="B84" s="353"/>
      <c r="C84" s="353"/>
      <c r="D84" s="203">
        <f>Pesquisa!D11</f>
        <v>0</v>
      </c>
      <c r="E84" s="123">
        <f>Pesquisa!G11</f>
        <v>0</v>
      </c>
      <c r="F84" s="119"/>
      <c r="G84" s="119"/>
      <c r="H84" s="119"/>
      <c r="I84" s="119"/>
      <c r="J84" s="119"/>
      <c r="K84" s="119"/>
      <c r="L84" s="119"/>
    </row>
    <row r="85" spans="1:12" ht="14.25" customHeight="1" hidden="1">
      <c r="A85" s="347" t="s">
        <v>141</v>
      </c>
      <c r="B85" s="348"/>
      <c r="C85" s="348"/>
      <c r="D85" s="348"/>
      <c r="E85" s="349"/>
      <c r="F85" s="119"/>
      <c r="G85" s="119"/>
      <c r="H85" s="119"/>
      <c r="I85" s="119"/>
      <c r="J85" s="119"/>
      <c r="K85" s="119"/>
      <c r="L85" s="119"/>
    </row>
    <row r="86" spans="1:12" ht="14.25" customHeight="1" hidden="1">
      <c r="A86" s="350">
        <f>Pesquisa!B12</f>
        <v>0</v>
      </c>
      <c r="B86" s="351"/>
      <c r="C86" s="351"/>
      <c r="D86" s="351"/>
      <c r="E86" s="352"/>
      <c r="F86" s="119"/>
      <c r="G86" s="119"/>
      <c r="H86" s="119"/>
      <c r="I86" s="119"/>
      <c r="J86" s="119"/>
      <c r="K86" s="119"/>
      <c r="L86" s="119"/>
    </row>
    <row r="87" spans="1:12" ht="14.25" customHeight="1">
      <c r="A87" s="369" t="s">
        <v>257</v>
      </c>
      <c r="B87" s="369"/>
      <c r="C87" s="369"/>
      <c r="D87" s="369"/>
      <c r="E87" s="155">
        <f>Pesquisa!L4</f>
        <v>0</v>
      </c>
      <c r="F87" s="119"/>
      <c r="G87" s="119"/>
      <c r="H87" s="119"/>
      <c r="I87" s="119"/>
      <c r="J87" s="119"/>
      <c r="K87" s="119"/>
      <c r="L87" s="119"/>
    </row>
    <row r="88" spans="1:12" ht="14.25" customHeight="1">
      <c r="A88" s="344"/>
      <c r="B88" s="345"/>
      <c r="C88" s="345"/>
      <c r="D88" s="345"/>
      <c r="E88" s="346"/>
      <c r="F88" s="119"/>
      <c r="G88" s="119"/>
      <c r="H88" s="119"/>
      <c r="I88" s="119"/>
      <c r="J88" s="119"/>
      <c r="K88" s="119"/>
      <c r="L88" s="119"/>
    </row>
    <row r="89" spans="1:12" ht="14.25" customHeight="1">
      <c r="A89" s="354" t="s">
        <v>59</v>
      </c>
      <c r="B89" s="354"/>
      <c r="C89" s="354"/>
      <c r="D89" s="354"/>
      <c r="E89" s="208" t="s">
        <v>61</v>
      </c>
      <c r="F89" s="119"/>
      <c r="G89" s="119"/>
      <c r="H89" s="119"/>
      <c r="I89" s="119"/>
      <c r="J89" s="119"/>
      <c r="K89" s="119"/>
      <c r="L89" s="119"/>
    </row>
    <row r="90" spans="1:15" ht="14.25" customHeight="1" hidden="1">
      <c r="A90" s="356" t="str">
        <f>Extensão!B8</f>
        <v>Insira o Título da Atividade</v>
      </c>
      <c r="B90" s="357"/>
      <c r="C90" s="357"/>
      <c r="D90" s="358"/>
      <c r="E90" s="210">
        <f>Extensão!D8</f>
        <v>0</v>
      </c>
      <c r="F90" s="119"/>
      <c r="G90" s="119"/>
      <c r="H90" s="119"/>
      <c r="I90" s="119"/>
      <c r="J90" s="119"/>
      <c r="K90" s="119"/>
      <c r="L90" s="119"/>
      <c r="O90" s="32"/>
    </row>
    <row r="91" spans="1:12" ht="14.25" customHeight="1" hidden="1">
      <c r="A91" s="356" t="str">
        <f>Extensão!B9</f>
        <v>Insira o Título da Atividade</v>
      </c>
      <c r="B91" s="357"/>
      <c r="C91" s="357"/>
      <c r="D91" s="358"/>
      <c r="E91" s="123">
        <f>Extensão!D9</f>
        <v>0</v>
      </c>
      <c r="F91" s="119"/>
      <c r="G91" s="119"/>
      <c r="H91" s="119"/>
      <c r="I91" s="119"/>
      <c r="J91" s="119"/>
      <c r="K91" s="119"/>
      <c r="L91" s="119"/>
    </row>
    <row r="92" spans="1:12" ht="14.25" customHeight="1" hidden="1">
      <c r="A92" s="200" t="str">
        <f>Extensão!B10</f>
        <v>Insira o Título da Atividade</v>
      </c>
      <c r="B92" s="201"/>
      <c r="C92" s="201"/>
      <c r="D92" s="202"/>
      <c r="E92" s="123">
        <f>Extensão!D10</f>
        <v>0</v>
      </c>
      <c r="F92" s="119"/>
      <c r="G92" s="119"/>
      <c r="H92" s="119"/>
      <c r="I92" s="119"/>
      <c r="J92" s="119"/>
      <c r="K92" s="119"/>
      <c r="L92" s="119"/>
    </row>
    <row r="93" spans="1:12" ht="14.25" customHeight="1" hidden="1">
      <c r="A93" s="200" t="str">
        <f>Extensão!B11</f>
        <v>Insira o Título da Atividade</v>
      </c>
      <c r="B93" s="201"/>
      <c r="C93" s="201"/>
      <c r="D93" s="202"/>
      <c r="E93" s="123">
        <f>Extensão!D11</f>
        <v>0</v>
      </c>
      <c r="F93" s="119"/>
      <c r="G93" s="119"/>
      <c r="H93" s="119"/>
      <c r="I93" s="119"/>
      <c r="J93" s="119"/>
      <c r="K93" s="119"/>
      <c r="L93" s="119"/>
    </row>
    <row r="94" spans="1:12" s="13" customFormat="1" ht="14.25" customHeight="1" hidden="1">
      <c r="A94" s="200" t="str">
        <f>Extensão!B12</f>
        <v>Insira o Título da Atividade</v>
      </c>
      <c r="B94" s="201"/>
      <c r="C94" s="201"/>
      <c r="D94" s="202"/>
      <c r="E94" s="123">
        <f>Extensão!D12</f>
        <v>0</v>
      </c>
      <c r="F94" s="72"/>
      <c r="G94" s="72"/>
      <c r="H94" s="72"/>
      <c r="I94" s="72"/>
      <c r="J94" s="72"/>
      <c r="K94" s="72"/>
      <c r="L94" s="72"/>
    </row>
    <row r="95" spans="1:12" s="13" customFormat="1" ht="14.25" customHeight="1" hidden="1">
      <c r="A95" s="200" t="str">
        <f>Extensão!B13</f>
        <v>Insira o Título da Atividade</v>
      </c>
      <c r="B95" s="201"/>
      <c r="C95" s="201"/>
      <c r="D95" s="202"/>
      <c r="E95" s="123">
        <f>Extensão!D13</f>
        <v>0</v>
      </c>
      <c r="F95" s="72"/>
      <c r="G95" s="72"/>
      <c r="H95" s="72"/>
      <c r="I95" s="72"/>
      <c r="J95" s="72"/>
      <c r="K95" s="72"/>
      <c r="L95" s="72"/>
    </row>
    <row r="96" spans="1:12" s="13" customFormat="1" ht="14.25" customHeight="1" hidden="1">
      <c r="A96" s="200" t="str">
        <f>Extensão!B14</f>
        <v>Insira o Título da Atividade</v>
      </c>
      <c r="B96" s="201"/>
      <c r="C96" s="201"/>
      <c r="D96" s="202"/>
      <c r="E96" s="123">
        <f>Extensão!D14</f>
        <v>0</v>
      </c>
      <c r="F96" s="72"/>
      <c r="G96" s="72"/>
      <c r="H96" s="72"/>
      <c r="I96" s="72"/>
      <c r="J96" s="72"/>
      <c r="K96" s="72"/>
      <c r="L96" s="72"/>
    </row>
    <row r="97" spans="1:12" s="13" customFormat="1" ht="14.25" customHeight="1" hidden="1">
      <c r="A97" s="200" t="str">
        <f>Extensão!B15</f>
        <v>Insira o Título da Atividade</v>
      </c>
      <c r="B97" s="201"/>
      <c r="C97" s="201"/>
      <c r="D97" s="202"/>
      <c r="E97" s="123">
        <f>Extensão!D15</f>
        <v>0</v>
      </c>
      <c r="F97" s="72"/>
      <c r="G97" s="72"/>
      <c r="H97" s="72"/>
      <c r="I97" s="72"/>
      <c r="J97" s="72"/>
      <c r="K97" s="72"/>
      <c r="L97" s="72"/>
    </row>
    <row r="98" spans="1:12" s="13" customFormat="1" ht="14.25" customHeight="1" hidden="1">
      <c r="A98" s="200" t="str">
        <f>Extensão!B16</f>
        <v>Insira o Título da Atividade</v>
      </c>
      <c r="B98" s="201"/>
      <c r="C98" s="201"/>
      <c r="D98" s="202"/>
      <c r="E98" s="123">
        <f>Extensão!D16</f>
        <v>0</v>
      </c>
      <c r="F98" s="72"/>
      <c r="G98" s="72"/>
      <c r="H98" s="72"/>
      <c r="I98" s="72"/>
      <c r="J98" s="72"/>
      <c r="K98" s="72"/>
      <c r="L98" s="72"/>
    </row>
    <row r="99" spans="1:12" s="13" customFormat="1" ht="14.25" customHeight="1" hidden="1">
      <c r="A99" s="200" t="str">
        <f>Extensão!B17</f>
        <v>Insira o Título da Atividade</v>
      </c>
      <c r="B99" s="201"/>
      <c r="C99" s="201"/>
      <c r="D99" s="202"/>
      <c r="E99" s="123">
        <f>Extensão!D17</f>
        <v>0</v>
      </c>
      <c r="F99" s="72"/>
      <c r="G99" s="72"/>
      <c r="H99" s="72"/>
      <c r="I99" s="72"/>
      <c r="J99" s="72"/>
      <c r="K99" s="72"/>
      <c r="L99" s="72"/>
    </row>
    <row r="100" spans="1:12" s="13" customFormat="1" ht="14.25" customHeight="1" hidden="1">
      <c r="A100" s="347" t="s">
        <v>262</v>
      </c>
      <c r="B100" s="348"/>
      <c r="C100" s="348"/>
      <c r="D100" s="348"/>
      <c r="E100" s="349"/>
      <c r="F100" s="72"/>
      <c r="G100" s="72"/>
      <c r="H100" s="72"/>
      <c r="I100" s="72"/>
      <c r="J100" s="72"/>
      <c r="K100" s="72"/>
      <c r="L100" s="72"/>
    </row>
    <row r="101" spans="1:12" s="13" customFormat="1" ht="14.25" customHeight="1" hidden="1">
      <c r="A101" s="350">
        <f>Extensão!C19</f>
        <v>0</v>
      </c>
      <c r="B101" s="351"/>
      <c r="C101" s="351"/>
      <c r="D101" s="351"/>
      <c r="E101" s="352"/>
      <c r="F101" s="72"/>
      <c r="G101" s="72"/>
      <c r="H101" s="72"/>
      <c r="I101" s="72"/>
      <c r="J101" s="72"/>
      <c r="K101" s="72"/>
      <c r="L101" s="72"/>
    </row>
    <row r="102" spans="1:12" ht="14.25" customHeight="1">
      <c r="A102" s="369" t="s">
        <v>261</v>
      </c>
      <c r="B102" s="369"/>
      <c r="C102" s="369"/>
      <c r="D102" s="369"/>
      <c r="E102" s="155">
        <f>SUM(E90:E99)</f>
        <v>0</v>
      </c>
      <c r="F102" s="119"/>
      <c r="G102" s="119"/>
      <c r="H102" s="119"/>
      <c r="I102" s="119"/>
      <c r="J102" s="119"/>
      <c r="K102" s="119"/>
      <c r="L102" s="119"/>
    </row>
    <row r="103" spans="1:12" s="13" customFormat="1" ht="14.25" customHeight="1">
      <c r="A103" s="344"/>
      <c r="B103" s="345"/>
      <c r="C103" s="345"/>
      <c r="D103" s="345"/>
      <c r="E103" s="346"/>
      <c r="F103" s="72"/>
      <c r="G103" s="72"/>
      <c r="H103" s="72"/>
      <c r="I103" s="72"/>
      <c r="J103" s="72"/>
      <c r="K103" s="72"/>
      <c r="L103" s="72"/>
    </row>
    <row r="104" spans="1:12" ht="14.25" customHeight="1">
      <c r="A104" s="354" t="s">
        <v>60</v>
      </c>
      <c r="B104" s="354"/>
      <c r="C104" s="354"/>
      <c r="D104" s="354" t="s">
        <v>10</v>
      </c>
      <c r="E104" s="208" t="s">
        <v>61</v>
      </c>
      <c r="F104" s="119"/>
      <c r="G104" s="119"/>
      <c r="H104" s="119"/>
      <c r="I104" s="119"/>
      <c r="J104" s="119"/>
      <c r="K104" s="119"/>
      <c r="L104" s="119"/>
    </row>
    <row r="105" spans="1:12" ht="14.25" customHeight="1" hidden="1">
      <c r="A105" s="383" t="str">
        <f>Gestão!A4</f>
        <v>Membros da CPA, Colegiados, NDE, Comissão de Ética e CPPD</v>
      </c>
      <c r="B105" s="384"/>
      <c r="C105" s="384"/>
      <c r="D105" s="385"/>
      <c r="E105" s="210">
        <f>Gestão!E4</f>
        <v>0</v>
      </c>
      <c r="F105" s="119"/>
      <c r="G105" s="119"/>
      <c r="H105" s="119"/>
      <c r="I105" s="119"/>
      <c r="J105" s="119"/>
      <c r="K105" s="119"/>
      <c r="L105" s="119"/>
    </row>
    <row r="106" spans="1:12" ht="27.75" customHeight="1" hidden="1">
      <c r="A106" s="383" t="str">
        <f>Gestão!A5</f>
        <v>Participação em outras câmaras, conselhos, núcleos e comitês temporários ou permanentes</v>
      </c>
      <c r="B106" s="384"/>
      <c r="C106" s="384"/>
      <c r="D106" s="385" t="e">
        <f>Gestão!#REF!</f>
        <v>#REF!</v>
      </c>
      <c r="E106" s="123">
        <f>Gestão!E5</f>
        <v>0</v>
      </c>
      <c r="F106" s="119"/>
      <c r="G106" s="119"/>
      <c r="H106" s="119"/>
      <c r="I106" s="119"/>
      <c r="J106" s="119"/>
      <c r="K106" s="119"/>
      <c r="L106" s="119"/>
    </row>
    <row r="107" spans="1:5" ht="14.25" customHeight="1" hidden="1">
      <c r="A107" s="383" t="str">
        <f>Gestão!A6</f>
        <v>Coordenação de curso</v>
      </c>
      <c r="B107" s="384"/>
      <c r="C107" s="384"/>
      <c r="D107" s="385" t="e">
        <f>Gestão!#REF!</f>
        <v>#REF!</v>
      </c>
      <c r="E107" s="123">
        <f>Gestão!E6</f>
        <v>0</v>
      </c>
    </row>
    <row r="108" spans="1:5" ht="14.25" customHeight="1" hidden="1">
      <c r="A108" s="383" t="str">
        <f>Gestão!A7</f>
        <v>Exercício de funções gratificadas (ou cargo de direção CD)</v>
      </c>
      <c r="B108" s="384"/>
      <c r="C108" s="384"/>
      <c r="D108" s="385" t="e">
        <f>Gestão!#REF!</f>
        <v>#REF!</v>
      </c>
      <c r="E108" s="123">
        <f>Gestão!E7</f>
        <v>0</v>
      </c>
    </row>
    <row r="109" spans="1:12" s="13" customFormat="1" ht="27" customHeight="1" hidden="1">
      <c r="A109" s="383" t="str">
        <f>Gestão!A8</f>
        <v>Responsabilidade por coordenadorias, setores, núcleos, laboratórios, áreas ou equivalentes</v>
      </c>
      <c r="B109" s="384"/>
      <c r="C109" s="384"/>
      <c r="D109" s="385" t="e">
        <f>Gestão!#REF!</f>
        <v>#REF!</v>
      </c>
      <c r="E109" s="123">
        <f>Gestão!E8</f>
        <v>0</v>
      </c>
      <c r="F109" s="72"/>
      <c r="G109" s="72"/>
      <c r="H109" s="72"/>
      <c r="I109" s="72"/>
      <c r="J109" s="72"/>
      <c r="K109" s="72"/>
      <c r="L109" s="72"/>
    </row>
    <row r="110" spans="1:12" ht="14.25" customHeight="1" hidden="1">
      <c r="A110" s="383" t="str">
        <f>Gestão!A9</f>
        <v>Coordenação ou execução de convênios, programas ou sistemas</v>
      </c>
      <c r="B110" s="384"/>
      <c r="C110" s="384"/>
      <c r="D110" s="385" t="e">
        <f>Gestão!#REF!</f>
        <v>#REF!</v>
      </c>
      <c r="E110" s="123">
        <f>Gestão!E9</f>
        <v>0</v>
      </c>
      <c r="F110" s="119"/>
      <c r="G110" s="119"/>
      <c r="H110" s="119"/>
      <c r="I110" s="119"/>
      <c r="J110" s="119"/>
      <c r="K110" s="119"/>
      <c r="L110" s="119"/>
    </row>
    <row r="111" spans="1:5" ht="14.25" customHeight="1" hidden="1">
      <c r="A111" s="347" t="s">
        <v>142</v>
      </c>
      <c r="B111" s="348"/>
      <c r="C111" s="348"/>
      <c r="D111" s="348"/>
      <c r="E111" s="349"/>
    </row>
    <row r="112" spans="1:12" s="13" customFormat="1" ht="14.25" customHeight="1" hidden="1">
      <c r="A112" s="350">
        <f>Gestão!B10</f>
        <v>0</v>
      </c>
      <c r="B112" s="351"/>
      <c r="C112" s="351"/>
      <c r="D112" s="351"/>
      <c r="E112" s="352"/>
      <c r="F112" s="72"/>
      <c r="G112" s="72"/>
      <c r="H112" s="72"/>
      <c r="I112" s="72"/>
      <c r="J112" s="72"/>
      <c r="K112" s="72"/>
      <c r="L112" s="72"/>
    </row>
    <row r="113" spans="1:5" ht="15" customHeight="1">
      <c r="A113" s="369" t="s">
        <v>259</v>
      </c>
      <c r="B113" s="369"/>
      <c r="C113" s="369"/>
      <c r="D113" s="369"/>
      <c r="E113" s="155">
        <f>Gestão!F4</f>
        <v>0</v>
      </c>
    </row>
    <row r="114" spans="1:5" ht="14.25" customHeight="1">
      <c r="A114" s="344"/>
      <c r="B114" s="345"/>
      <c r="C114" s="345"/>
      <c r="D114" s="345"/>
      <c r="E114" s="346"/>
    </row>
    <row r="115" spans="1:5" ht="14.25" customHeight="1">
      <c r="A115" s="354" t="s">
        <v>145</v>
      </c>
      <c r="B115" s="354"/>
      <c r="C115" s="354"/>
      <c r="D115" s="354"/>
      <c r="E115" s="208" t="s">
        <v>61</v>
      </c>
    </row>
    <row r="116" spans="1:5" ht="14.25" customHeight="1" hidden="1">
      <c r="A116" s="356" t="s">
        <v>145</v>
      </c>
      <c r="B116" s="357"/>
      <c r="C116" s="357"/>
      <c r="D116" s="358"/>
      <c r="E116" s="210">
        <f>Capacitação!H4</f>
        <v>0</v>
      </c>
    </row>
    <row r="117" spans="1:5" ht="14.25" customHeight="1" hidden="1">
      <c r="A117" s="347" t="s">
        <v>148</v>
      </c>
      <c r="B117" s="348"/>
      <c r="C117" s="348"/>
      <c r="D117" s="348"/>
      <c r="E117" s="349"/>
    </row>
    <row r="118" spans="1:5" ht="14.25" customHeight="1" hidden="1">
      <c r="A118" s="350">
        <f>Capacitação!B5</f>
        <v>0</v>
      </c>
      <c r="B118" s="351"/>
      <c r="C118" s="351"/>
      <c r="D118" s="351"/>
      <c r="E118" s="352"/>
    </row>
    <row r="119" spans="1:5" ht="14.25" customHeight="1">
      <c r="A119" s="369" t="s">
        <v>260</v>
      </c>
      <c r="B119" s="369"/>
      <c r="C119" s="369"/>
      <c r="D119" s="369"/>
      <c r="E119" s="155">
        <f>Capacitação!H4</f>
        <v>0</v>
      </c>
    </row>
    <row r="120" spans="1:5" ht="14.25" customHeight="1">
      <c r="A120" s="344"/>
      <c r="B120" s="345"/>
      <c r="C120" s="345"/>
      <c r="D120" s="345"/>
      <c r="E120" s="346"/>
    </row>
    <row r="121" spans="1:5" ht="64.5" customHeight="1">
      <c r="A121" s="223" t="s">
        <v>171</v>
      </c>
      <c r="B121" s="355"/>
      <c r="C121" s="355"/>
      <c r="D121" s="355"/>
      <c r="E121" s="355"/>
    </row>
  </sheetData>
  <sheetProtection selectLockedCells="1" selectUnlockedCells="1"/>
  <mergeCells count="117">
    <mergeCell ref="A113:D113"/>
    <mergeCell ref="A119:D119"/>
    <mergeCell ref="A115:D115"/>
    <mergeCell ref="A64:D64"/>
    <mergeCell ref="A65:D65"/>
    <mergeCell ref="A108:D108"/>
    <mergeCell ref="A109:D109"/>
    <mergeCell ref="A110:D110"/>
    <mergeCell ref="A116:D116"/>
    <mergeCell ref="A71:D71"/>
    <mergeCell ref="A89:D89"/>
    <mergeCell ref="A103:E103"/>
    <mergeCell ref="A74:D74"/>
    <mergeCell ref="A107:D107"/>
    <mergeCell ref="A106:D106"/>
    <mergeCell ref="A82:C82"/>
    <mergeCell ref="A83:C83"/>
    <mergeCell ref="A84:C84"/>
    <mergeCell ref="A105:D105"/>
    <mergeCell ref="G18:H19"/>
    <mergeCell ref="A73:D73"/>
    <mergeCell ref="A66:D66"/>
    <mergeCell ref="A67:D67"/>
    <mergeCell ref="A68:D68"/>
    <mergeCell ref="A51:D51"/>
    <mergeCell ref="A52:D52"/>
    <mergeCell ref="A53:D53"/>
    <mergeCell ref="A54:D54"/>
    <mergeCell ref="A20:B20"/>
    <mergeCell ref="A55:D55"/>
    <mergeCell ref="A42:D42"/>
    <mergeCell ref="A57:D57"/>
    <mergeCell ref="A58:D58"/>
    <mergeCell ref="A34:D34"/>
    <mergeCell ref="A37:D37"/>
    <mergeCell ref="A38:D38"/>
    <mergeCell ref="A39:D39"/>
    <mergeCell ref="A40:D40"/>
    <mergeCell ref="A41:D41"/>
    <mergeCell ref="A35:D35"/>
    <mergeCell ref="A17:D17"/>
    <mergeCell ref="A29:D29"/>
    <mergeCell ref="A30:D30"/>
    <mergeCell ref="A32:D32"/>
    <mergeCell ref="A33:D33"/>
    <mergeCell ref="A31:D31"/>
    <mergeCell ref="C19:E19"/>
    <mergeCell ref="A28:D28"/>
    <mergeCell ref="A26:C26"/>
    <mergeCell ref="A45:D45"/>
    <mergeCell ref="A46:D46"/>
    <mergeCell ref="A47:D47"/>
    <mergeCell ref="A48:D48"/>
    <mergeCell ref="A49:D49"/>
    <mergeCell ref="A50:D50"/>
    <mergeCell ref="A60:D60"/>
    <mergeCell ref="A61:D61"/>
    <mergeCell ref="A77:C77"/>
    <mergeCell ref="A78:C78"/>
    <mergeCell ref="A79:C79"/>
    <mergeCell ref="A69:D69"/>
    <mergeCell ref="A63:D63"/>
    <mergeCell ref="A75:E75"/>
    <mergeCell ref="A72:E72"/>
    <mergeCell ref="A62:D62"/>
    <mergeCell ref="A9:C9"/>
    <mergeCell ref="D9:E9"/>
    <mergeCell ref="A10:E10"/>
    <mergeCell ref="A87:D87"/>
    <mergeCell ref="A102:D102"/>
    <mergeCell ref="A76:D76"/>
    <mergeCell ref="A36:D36"/>
    <mergeCell ref="A43:D43"/>
    <mergeCell ref="A44:D44"/>
    <mergeCell ref="B21:E22"/>
    <mergeCell ref="A11:C11"/>
    <mergeCell ref="A12:D12"/>
    <mergeCell ref="A13:D13"/>
    <mergeCell ref="A14:D14"/>
    <mergeCell ref="A15:D15"/>
    <mergeCell ref="A16:D16"/>
    <mergeCell ref="A21:A22"/>
    <mergeCell ref="B23:E24"/>
    <mergeCell ref="A23:A24"/>
    <mergeCell ref="A25:E25"/>
    <mergeCell ref="A27:D27"/>
    <mergeCell ref="B7:E7"/>
    <mergeCell ref="D8:E8"/>
    <mergeCell ref="A8:C8"/>
    <mergeCell ref="A18:D18"/>
    <mergeCell ref="C20:E20"/>
    <mergeCell ref="A1:E1"/>
    <mergeCell ref="B2:E2"/>
    <mergeCell ref="B3:E3"/>
    <mergeCell ref="B4:E4"/>
    <mergeCell ref="B5:E5"/>
    <mergeCell ref="B6:E6"/>
    <mergeCell ref="B121:E121"/>
    <mergeCell ref="A88:E88"/>
    <mergeCell ref="A114:E114"/>
    <mergeCell ref="A70:E70"/>
    <mergeCell ref="A85:E85"/>
    <mergeCell ref="A100:E100"/>
    <mergeCell ref="A101:E101"/>
    <mergeCell ref="A86:E86"/>
    <mergeCell ref="A90:D90"/>
    <mergeCell ref="A91:D91"/>
    <mergeCell ref="A56:E56"/>
    <mergeCell ref="A120:E120"/>
    <mergeCell ref="A111:E111"/>
    <mergeCell ref="A117:E117"/>
    <mergeCell ref="A112:E112"/>
    <mergeCell ref="A118:E118"/>
    <mergeCell ref="A80:C80"/>
    <mergeCell ref="A81:C81"/>
    <mergeCell ref="A104:D104"/>
    <mergeCell ref="A59:D59"/>
  </mergeCells>
  <conditionalFormatting sqref="E18">
    <cfRule type="cellIs" priority="1" dxfId="17" operator="greaterThan">
      <formula>40</formula>
    </cfRule>
  </conditionalFormatting>
  <dataValidations count="1">
    <dataValidation allowBlank="1" showInputMessage="1" showErrorMessage="1" promptTitle="Plano de Trabalho RAD" prompt="Clique em &quot;Atualizar Relatório&quot; para gerar o Relatório com dados alimentados nas Abas Anteriores. Imprimir ou Gerar PDF apenas desta aba." sqref="A1:E1"/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/>
  <dimension ref="A1:J8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9.57421875" style="0" bestFit="1" customWidth="1"/>
  </cols>
  <sheetData>
    <row r="1" spans="1:10" ht="15">
      <c r="A1" s="386" t="s">
        <v>169</v>
      </c>
      <c r="B1" s="386"/>
      <c r="C1" s="386"/>
      <c r="D1" s="386"/>
      <c r="E1" s="386"/>
      <c r="F1" s="386"/>
      <c r="G1" s="386"/>
      <c r="H1" s="386"/>
      <c r="I1" s="386"/>
      <c r="J1" s="386"/>
    </row>
    <row r="3" ht="15">
      <c r="A3" s="132" t="s">
        <v>103</v>
      </c>
    </row>
    <row r="4" ht="15">
      <c r="A4" s="128" t="s">
        <v>53</v>
      </c>
    </row>
    <row r="5" ht="15.75">
      <c r="A5" s="128" t="s">
        <v>70</v>
      </c>
    </row>
    <row r="6" ht="15">
      <c r="A6" s="128" t="s">
        <v>69</v>
      </c>
    </row>
    <row r="7" ht="15">
      <c r="A7" s="128" t="s">
        <v>54</v>
      </c>
    </row>
    <row r="8" ht="15">
      <c r="A8" s="128" t="s">
        <v>55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</dc:creator>
  <cp:keywords/>
  <dc:description/>
  <cp:lastModifiedBy>Michel</cp:lastModifiedBy>
  <cp:lastPrinted>2017-06-06T19:13:54Z</cp:lastPrinted>
  <dcterms:created xsi:type="dcterms:W3CDTF">2014-10-14T19:47:18Z</dcterms:created>
  <dcterms:modified xsi:type="dcterms:W3CDTF">2018-08-06T17:34:38Z</dcterms:modified>
  <cp:category/>
  <cp:version/>
  <cp:contentType/>
  <cp:contentStatus/>
</cp:coreProperties>
</file>